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GoogleDrive\OUP equity handbook\Exercises - Final Set\"/>
    </mc:Choice>
  </mc:AlternateContent>
  <xr:revisionPtr revIDLastSave="0" documentId="13_ncr:1_{89C58F16-F2CB-4B4B-B237-0D04584B99DD}" xr6:coauthVersionLast="45" xr6:coauthVersionMax="45" xr10:uidLastSave="{00000000-0000-0000-0000-000000000000}"/>
  <bookViews>
    <workbookView xWindow="735" yWindow="735" windowWidth="22845" windowHeight="14850" xr2:uid="{00000000-000D-0000-FFFF-FFFF00000000}"/>
  </bookViews>
  <sheets>
    <sheet name="Intro" sheetId="1" r:id="rId1"/>
    <sheet name="Overview" sheetId="18" r:id="rId2"/>
    <sheet name="1. Baseline Inputs" sheetId="7" r:id="rId3"/>
    <sheet name=" 2. Baseline CHE Smokers" sheetId="12" r:id="rId4"/>
    <sheet name="3. Baseline CHE Non-Smokers" sheetId="17" r:id="rId5"/>
    <sheet name="4. Baseline CHE Figure" sheetId="14" r:id="rId6"/>
    <sheet name="5. Tax Scenario" sheetId="10" r:id="rId7"/>
    <sheet name="6. Tax CHE" sheetId="13" r:id="rId8"/>
    <sheet name="7. Tax CHE Figure" sheetId="15" r:id="rId9"/>
    <sheet name="8. Results" sheetId="11" r:id="rId10"/>
  </sheets>
  <definedNames>
    <definedName name="Che_Threshold" localSheetId="4">'3. Baseline CHE Non-Smokers'!$C$2</definedName>
    <definedName name="Che_Threshold">' 2. Baseline CHE Smokers'!$C$2</definedName>
    <definedName name="HOSP_UTIL_Q1">'1. Baseline Inputs'!$B$13</definedName>
    <definedName name="HOSP_UTIL_Q2">'1. Baseline Inputs'!$C$13</definedName>
    <definedName name="HOSP_UTIL_Q3">'1. Baseline Inputs'!$D$13</definedName>
    <definedName name="HOSP_UTIL_Q4">'1. Baseline Inputs'!$E$13</definedName>
    <definedName name="HOSP_UTIL_Q5">'1. Baseline Inputs'!$F$13</definedName>
    <definedName name="HOSP_UTIL_TOT">'1. Baseline Inputs'!$G$13</definedName>
    <definedName name="PED_Q1">'5. Tax Scenario'!$B$14</definedName>
    <definedName name="PED_Q2">'5. Tax Scenario'!$C$14</definedName>
    <definedName name="PED_Q3">'5. Tax Scenario'!$D$14</definedName>
    <definedName name="PED_Q4">'5. Tax Scenario'!$E$14</definedName>
    <definedName name="PED_Q5">'5. Tax Scenario'!$F$14</definedName>
    <definedName name="Pop" localSheetId="4">#REF!</definedName>
    <definedName name="Pop">#REF!</definedName>
    <definedName name="PREV_SMK_Q1">'1. Baseline Inputs'!$B$10</definedName>
    <definedName name="PREV_SMK_Q2">'1. Baseline Inputs'!$C$10</definedName>
    <definedName name="PREV_SMK_Q3">'1. Baseline Inputs'!$D$10</definedName>
    <definedName name="PREV_SMK_Q4">'1. Baseline Inputs'!$E$10</definedName>
    <definedName name="PREV_SMK_Q5">'1. Baseline Inputs'!$F$10</definedName>
    <definedName name="PREV_SMK_TOT">'1. Baseline Inputs'!$G$10</definedName>
    <definedName name="TAX">'5. Tax Scenario'!$B$9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3" l="1"/>
  <c r="C2" i="17"/>
  <c r="C2" i="12"/>
  <c r="C39" i="17"/>
  <c r="C40" i="17" s="1"/>
  <c r="D39" i="17"/>
  <c r="D40" i="17" s="1"/>
  <c r="E39" i="17"/>
  <c r="E40" i="17" s="1"/>
  <c r="F39" i="17"/>
  <c r="F40" i="17" s="1"/>
  <c r="B39" i="17"/>
  <c r="B40" i="17" s="1"/>
  <c r="C33" i="17"/>
  <c r="C34" i="17" s="1"/>
  <c r="D33" i="17"/>
  <c r="D34" i="17" s="1"/>
  <c r="E33" i="17"/>
  <c r="E34" i="17" s="1"/>
  <c r="F33" i="17"/>
  <c r="F34" i="17" s="1"/>
  <c r="B33" i="17"/>
  <c r="B34" i="17" s="1"/>
  <c r="C27" i="17"/>
  <c r="C28" i="17" s="1"/>
  <c r="D27" i="17"/>
  <c r="D28" i="17" s="1"/>
  <c r="E27" i="17"/>
  <c r="E28" i="17" s="1"/>
  <c r="F27" i="17"/>
  <c r="F28" i="17" s="1"/>
  <c r="B27" i="17"/>
  <c r="B28" i="17" s="1"/>
  <c r="C21" i="17"/>
  <c r="C22" i="17" s="1"/>
  <c r="D21" i="17"/>
  <c r="D22" i="17" s="1"/>
  <c r="E21" i="17"/>
  <c r="E22" i="17" s="1"/>
  <c r="F21" i="17"/>
  <c r="F22" i="17" s="1"/>
  <c r="B21" i="17"/>
  <c r="B22" i="17" s="1"/>
  <c r="C15" i="17"/>
  <c r="C16" i="17" s="1"/>
  <c r="D15" i="17"/>
  <c r="D16" i="17" s="1"/>
  <c r="E15" i="17"/>
  <c r="E16" i="17" s="1"/>
  <c r="F15" i="17"/>
  <c r="F16" i="17" s="1"/>
  <c r="B15" i="17"/>
  <c r="B16" i="17" s="1"/>
  <c r="B9" i="17"/>
  <c r="B10" i="17" s="1"/>
  <c r="C9" i="17"/>
  <c r="C10" i="17" s="1"/>
  <c r="D9" i="17"/>
  <c r="D10" i="17" s="1"/>
  <c r="E9" i="17"/>
  <c r="E10" i="17" s="1"/>
  <c r="F9" i="17"/>
  <c r="F10" i="17" s="1"/>
  <c r="E23" i="17" l="1"/>
  <c r="F41" i="17"/>
  <c r="F35" i="17"/>
  <c r="F29" i="17"/>
  <c r="F23" i="17"/>
  <c r="E11" i="17"/>
  <c r="F11" i="17"/>
  <c r="F17" i="17"/>
  <c r="G10" i="7"/>
  <c r="F43" i="17" l="1"/>
  <c r="C43" i="13"/>
  <c r="C44" i="13" s="1"/>
  <c r="D43" i="13"/>
  <c r="D44" i="13" s="1"/>
  <c r="E43" i="13"/>
  <c r="E44" i="13" s="1"/>
  <c r="F43" i="13"/>
  <c r="F44" i="13" s="1"/>
  <c r="F45" i="13" s="1"/>
  <c r="B43" i="13"/>
  <c r="B44" i="13" s="1"/>
  <c r="C37" i="13"/>
  <c r="C38" i="13" s="1"/>
  <c r="D37" i="13"/>
  <c r="D38" i="13" s="1"/>
  <c r="E37" i="13"/>
  <c r="E38" i="13" s="1"/>
  <c r="F37" i="13"/>
  <c r="F38" i="13" s="1"/>
  <c r="F39" i="13" s="1"/>
  <c r="B37" i="13"/>
  <c r="B38" i="13" s="1"/>
  <c r="C31" i="13"/>
  <c r="C32" i="13" s="1"/>
  <c r="D31" i="13"/>
  <c r="D32" i="13" s="1"/>
  <c r="E31" i="13"/>
  <c r="E32" i="13" s="1"/>
  <c r="F31" i="13"/>
  <c r="F32" i="13" s="1"/>
  <c r="F33" i="13" s="1"/>
  <c r="B31" i="13"/>
  <c r="B32" i="13" s="1"/>
  <c r="C25" i="13"/>
  <c r="C26" i="13" s="1"/>
  <c r="D25" i="13"/>
  <c r="D26" i="13" s="1"/>
  <c r="E25" i="13"/>
  <c r="E26" i="13" s="1"/>
  <c r="E27" i="13" s="1"/>
  <c r="F25" i="13"/>
  <c r="F26" i="13" s="1"/>
  <c r="F27" i="13" s="1"/>
  <c r="B25" i="13"/>
  <c r="B26" i="13" s="1"/>
  <c r="C19" i="13"/>
  <c r="C20" i="13" s="1"/>
  <c r="D19" i="13"/>
  <c r="D20" i="13" s="1"/>
  <c r="E19" i="13"/>
  <c r="E20" i="13" s="1"/>
  <c r="F19" i="13"/>
  <c r="F20" i="13" s="1"/>
  <c r="F21" i="13" s="1"/>
  <c r="B19" i="13"/>
  <c r="B20" i="13" s="1"/>
  <c r="B13" i="13"/>
  <c r="B14" i="13" s="1"/>
  <c r="G14" i="7"/>
  <c r="F47" i="13" l="1"/>
  <c r="G14" i="10"/>
  <c r="C4" i="7"/>
  <c r="D4" i="7"/>
  <c r="E4" i="7"/>
  <c r="F4" i="7"/>
  <c r="B4" i="7"/>
  <c r="F39" i="12"/>
  <c r="F40" i="12" s="1"/>
  <c r="F41" i="12" s="1"/>
  <c r="E39" i="12"/>
  <c r="E40" i="12" s="1"/>
  <c r="D39" i="12"/>
  <c r="D40" i="12" s="1"/>
  <c r="C39" i="12"/>
  <c r="C40" i="12" s="1"/>
  <c r="B39" i="12"/>
  <c r="B40" i="12" s="1"/>
  <c r="F33" i="12"/>
  <c r="F34" i="12" s="1"/>
  <c r="F35" i="12" s="1"/>
  <c r="E33" i="12"/>
  <c r="E34" i="12" s="1"/>
  <c r="D33" i="12"/>
  <c r="D34" i="12" s="1"/>
  <c r="C33" i="12"/>
  <c r="C34" i="12" s="1"/>
  <c r="B33" i="12"/>
  <c r="B34" i="12" s="1"/>
  <c r="F27" i="12"/>
  <c r="F28" i="12" s="1"/>
  <c r="F29" i="12" s="1"/>
  <c r="E27" i="12"/>
  <c r="E28" i="12" s="1"/>
  <c r="D27" i="12"/>
  <c r="D28" i="12" s="1"/>
  <c r="C27" i="12"/>
  <c r="C28" i="12" s="1"/>
  <c r="B27" i="12"/>
  <c r="B28" i="12" s="1"/>
  <c r="F21" i="12"/>
  <c r="F22" i="12" s="1"/>
  <c r="F23" i="12" s="1"/>
  <c r="E21" i="12"/>
  <c r="E22" i="12" s="1"/>
  <c r="E23" i="12" s="1"/>
  <c r="D21" i="12"/>
  <c r="D22" i="12" s="1"/>
  <c r="C21" i="12"/>
  <c r="C22" i="12" s="1"/>
  <c r="B21" i="12"/>
  <c r="B22" i="12" s="1"/>
  <c r="F15" i="12"/>
  <c r="F16" i="12" s="1"/>
  <c r="F17" i="12" s="1"/>
  <c r="E15" i="12"/>
  <c r="E16" i="12" s="1"/>
  <c r="D15" i="12"/>
  <c r="D16" i="12" s="1"/>
  <c r="C15" i="12"/>
  <c r="C16" i="12" s="1"/>
  <c r="B15" i="12"/>
  <c r="B16" i="12" s="1"/>
  <c r="B9" i="12"/>
  <c r="B10" i="12" s="1"/>
  <c r="E31" i="12" l="1"/>
  <c r="E32" i="12" s="1"/>
  <c r="E31" i="17"/>
  <c r="E32" i="17" s="1"/>
  <c r="E35" i="17" s="1"/>
  <c r="E7" i="17"/>
  <c r="E8" i="17" s="1"/>
  <c r="E25" i="17"/>
  <c r="E26" i="17" s="1"/>
  <c r="E29" i="17" s="1"/>
  <c r="E13" i="17"/>
  <c r="E14" i="17" s="1"/>
  <c r="E17" i="17" s="1"/>
  <c r="E37" i="17"/>
  <c r="E38" i="17" s="1"/>
  <c r="E41" i="17" s="1"/>
  <c r="E19" i="17"/>
  <c r="E20" i="17" s="1"/>
  <c r="D37" i="12"/>
  <c r="D38" i="12" s="1"/>
  <c r="D13" i="17"/>
  <c r="D14" i="17" s="1"/>
  <c r="D17" i="17" s="1"/>
  <c r="D31" i="17"/>
  <c r="D32" i="17" s="1"/>
  <c r="D35" i="17" s="1"/>
  <c r="D7" i="17"/>
  <c r="D8" i="17" s="1"/>
  <c r="D11" i="17" s="1"/>
  <c r="D37" i="17"/>
  <c r="D38" i="17" s="1"/>
  <c r="D41" i="17" s="1"/>
  <c r="D25" i="17"/>
  <c r="D26" i="17" s="1"/>
  <c r="D29" i="17" s="1"/>
  <c r="D19" i="17"/>
  <c r="D20" i="17" s="1"/>
  <c r="D23" i="17" s="1"/>
  <c r="B37" i="12"/>
  <c r="B38" i="12" s="1"/>
  <c r="B19" i="17"/>
  <c r="B37" i="17"/>
  <c r="B38" i="17" s="1"/>
  <c r="B41" i="17" s="1"/>
  <c r="B13" i="17"/>
  <c r="B25" i="17"/>
  <c r="B26" i="17" s="1"/>
  <c r="B29" i="17" s="1"/>
  <c r="B31" i="17"/>
  <c r="B32" i="17" s="1"/>
  <c r="B35" i="17" s="1"/>
  <c r="B7" i="17"/>
  <c r="C37" i="17"/>
  <c r="C38" i="17" s="1"/>
  <c r="C41" i="17" s="1"/>
  <c r="C19" i="17"/>
  <c r="C20" i="17" s="1"/>
  <c r="C23" i="17" s="1"/>
  <c r="C13" i="17"/>
  <c r="C14" i="17" s="1"/>
  <c r="C17" i="17" s="1"/>
  <c r="C25" i="17"/>
  <c r="C26" i="17" s="1"/>
  <c r="C29" i="17" s="1"/>
  <c r="C31" i="17"/>
  <c r="C32" i="17" s="1"/>
  <c r="C35" i="17" s="1"/>
  <c r="C7" i="17"/>
  <c r="C8" i="17" s="1"/>
  <c r="C11" i="17" s="1"/>
  <c r="E13" i="12"/>
  <c r="E14" i="12" s="1"/>
  <c r="F25" i="17"/>
  <c r="F26" i="17" s="1"/>
  <c r="F37" i="17"/>
  <c r="F38" i="17" s="1"/>
  <c r="F19" i="17"/>
  <c r="F20" i="17" s="1"/>
  <c r="F13" i="17"/>
  <c r="F14" i="17" s="1"/>
  <c r="F31" i="17"/>
  <c r="F32" i="17" s="1"/>
  <c r="F7" i="17"/>
  <c r="F8" i="17" s="1"/>
  <c r="E37" i="12"/>
  <c r="E38" i="12" s="1"/>
  <c r="C13" i="12"/>
  <c r="C14" i="12" s="1"/>
  <c r="D25" i="12"/>
  <c r="D26" i="12" s="1"/>
  <c r="F37" i="12"/>
  <c r="F38" i="12" s="1"/>
  <c r="D19" i="12"/>
  <c r="D20" i="12" s="1"/>
  <c r="E25" i="12"/>
  <c r="E26" i="12" s="1"/>
  <c r="F13" i="12"/>
  <c r="F14" i="12" s="1"/>
  <c r="D31" i="12"/>
  <c r="D32" i="12" s="1"/>
  <c r="B7" i="12"/>
  <c r="B8" i="12" s="1"/>
  <c r="C19" i="12"/>
  <c r="C20" i="12" s="1"/>
  <c r="F19" i="12"/>
  <c r="F20" i="12" s="1"/>
  <c r="D13" i="12"/>
  <c r="D14" i="12" s="1"/>
  <c r="E19" i="12"/>
  <c r="E20" i="12" s="1"/>
  <c r="F25" i="12"/>
  <c r="F26" i="12" s="1"/>
  <c r="B31" i="12"/>
  <c r="B32" i="12" s="1"/>
  <c r="C31" i="12"/>
  <c r="C32" i="12" s="1"/>
  <c r="C37" i="12"/>
  <c r="C38" i="12" s="1"/>
  <c r="B19" i="12"/>
  <c r="B20" i="12" s="1"/>
  <c r="B25" i="12"/>
  <c r="B26" i="12" s="1"/>
  <c r="C25" i="12"/>
  <c r="C26" i="12" s="1"/>
  <c r="B13" i="12"/>
  <c r="B14" i="12" s="1"/>
  <c r="F31" i="12"/>
  <c r="F32" i="12" s="1"/>
  <c r="F22" i="11"/>
  <c r="B27" i="7"/>
  <c r="B14" i="17" l="1"/>
  <c r="B17" i="17" s="1"/>
  <c r="G17" i="17" s="1"/>
  <c r="G13" i="17"/>
  <c r="B20" i="17"/>
  <c r="B23" i="17" s="1"/>
  <c r="G23" i="17" s="1"/>
  <c r="G19" i="17"/>
  <c r="B8" i="17"/>
  <c r="B11" i="17" s="1"/>
  <c r="G7" i="17"/>
  <c r="D43" i="17"/>
  <c r="G35" i="17"/>
  <c r="G31" i="17"/>
  <c r="G25" i="17"/>
  <c r="G37" i="17"/>
  <c r="G41" i="17"/>
  <c r="E43" i="17"/>
  <c r="B15" i="10"/>
  <c r="B16" i="10" s="1"/>
  <c r="B9" i="11" s="1"/>
  <c r="G11" i="17" l="1"/>
  <c r="B43" i="17"/>
  <c r="G29" i="17"/>
  <c r="C43" i="17"/>
  <c r="G43" i="17" s="1"/>
  <c r="C41" i="13"/>
  <c r="C42" i="13" s="1"/>
  <c r="C45" i="13" s="1"/>
  <c r="C17" i="13"/>
  <c r="C18" i="13" s="1"/>
  <c r="C21" i="13" s="1"/>
  <c r="C29" i="13"/>
  <c r="C30" i="13" s="1"/>
  <c r="C33" i="13" s="1"/>
  <c r="C35" i="13"/>
  <c r="C36" i="13" s="1"/>
  <c r="C39" i="13" s="1"/>
  <c r="C23" i="13"/>
  <c r="C24" i="13" s="1"/>
  <c r="C27" i="13" s="1"/>
  <c r="E29" i="13"/>
  <c r="E30" i="13" s="1"/>
  <c r="E33" i="13" s="1"/>
  <c r="E41" i="13"/>
  <c r="E42" i="13" s="1"/>
  <c r="E45" i="13" s="1"/>
  <c r="E23" i="13"/>
  <c r="E24" i="13" s="1"/>
  <c r="E17" i="13"/>
  <c r="E18" i="13" s="1"/>
  <c r="E21" i="13" s="1"/>
  <c r="E35" i="13"/>
  <c r="E36" i="13" s="1"/>
  <c r="E39" i="13" s="1"/>
  <c r="D23" i="13"/>
  <c r="D24" i="13" s="1"/>
  <c r="D27" i="13" s="1"/>
  <c r="D29" i="13"/>
  <c r="D30" i="13" s="1"/>
  <c r="D33" i="13" s="1"/>
  <c r="D41" i="13"/>
  <c r="D42" i="13" s="1"/>
  <c r="D45" i="13" s="1"/>
  <c r="D17" i="13"/>
  <c r="D18" i="13" s="1"/>
  <c r="D21" i="13" s="1"/>
  <c r="D35" i="13"/>
  <c r="D36" i="13" s="1"/>
  <c r="D39" i="13" s="1"/>
  <c r="B41" i="13"/>
  <c r="B17" i="13"/>
  <c r="B23" i="13"/>
  <c r="B35" i="13"/>
  <c r="B29" i="13"/>
  <c r="B11" i="13"/>
  <c r="F35" i="13"/>
  <c r="F36" i="13" s="1"/>
  <c r="F23" i="13"/>
  <c r="F24" i="13" s="1"/>
  <c r="F41" i="13"/>
  <c r="F42" i="13" s="1"/>
  <c r="F29" i="13"/>
  <c r="F30" i="13" s="1"/>
  <c r="F17" i="13"/>
  <c r="F18" i="13" s="1"/>
  <c r="G15" i="10"/>
  <c r="G16" i="10" s="1"/>
  <c r="G5" i="7"/>
  <c r="B12" i="13" l="1"/>
  <c r="B15" i="13" s="1"/>
  <c r="B18" i="13"/>
  <c r="B21" i="13" s="1"/>
  <c r="G17" i="13"/>
  <c r="B30" i="13"/>
  <c r="B33" i="13" s="1"/>
  <c r="G29" i="13"/>
  <c r="B42" i="13"/>
  <c r="B45" i="13" s="1"/>
  <c r="G41" i="13"/>
  <c r="B36" i="13"/>
  <c r="B39" i="13" s="1"/>
  <c r="G35" i="13"/>
  <c r="B24" i="13"/>
  <c r="B27" i="13" s="1"/>
  <c r="G23" i="13"/>
  <c r="E47" i="13"/>
  <c r="D47" i="13"/>
  <c r="C47" i="13"/>
  <c r="E14" i="11"/>
  <c r="F16" i="11"/>
  <c r="E35" i="12"/>
  <c r="E41" i="12"/>
  <c r="E17" i="12"/>
  <c r="E29" i="12"/>
  <c r="D29" i="12"/>
  <c r="D35" i="12"/>
  <c r="D17" i="12"/>
  <c r="D41" i="12"/>
  <c r="D23" i="12"/>
  <c r="C29" i="12"/>
  <c r="C35" i="12"/>
  <c r="C41" i="12"/>
  <c r="C17" i="12"/>
  <c r="C23" i="12"/>
  <c r="F21" i="11"/>
  <c r="B47" i="13" l="1"/>
  <c r="B22" i="11" s="1"/>
  <c r="G39" i="13"/>
  <c r="G33" i="13"/>
  <c r="G27" i="13"/>
  <c r="F17" i="11"/>
  <c r="E22" i="11"/>
  <c r="F15" i="11"/>
  <c r="F13" i="11"/>
  <c r="F14" i="11"/>
  <c r="G21" i="13"/>
  <c r="G45" i="13"/>
  <c r="E21" i="11"/>
  <c r="C17" i="11"/>
  <c r="C21" i="11"/>
  <c r="D22" i="11"/>
  <c r="B35" i="12"/>
  <c r="G35" i="12" s="1"/>
  <c r="G31" i="12"/>
  <c r="G19" i="12"/>
  <c r="B23" i="12"/>
  <c r="G23" i="12" s="1"/>
  <c r="B11" i="12"/>
  <c r="B41" i="12"/>
  <c r="G41" i="12" s="1"/>
  <c r="G37" i="12"/>
  <c r="E15" i="11"/>
  <c r="D13" i="11"/>
  <c r="G25" i="12"/>
  <c r="B29" i="12"/>
  <c r="G29" i="12" s="1"/>
  <c r="D21" i="11"/>
  <c r="B17" i="12"/>
  <c r="G17" i="12" s="1"/>
  <c r="G13" i="12"/>
  <c r="D17" i="11"/>
  <c r="C16" i="11"/>
  <c r="D16" i="11"/>
  <c r="E17" i="11"/>
  <c r="C14" i="11"/>
  <c r="C15" i="11"/>
  <c r="E16" i="11"/>
  <c r="C13" i="11"/>
  <c r="E13" i="11"/>
  <c r="D15" i="11"/>
  <c r="D14" i="11"/>
  <c r="G47" i="13" l="1"/>
  <c r="G22" i="11" s="1"/>
  <c r="F18" i="11"/>
  <c r="C18" i="11"/>
  <c r="C22" i="11"/>
  <c r="E18" i="11"/>
  <c r="B12" i="11"/>
  <c r="B16" i="11"/>
  <c r="G16" i="11" s="1"/>
  <c r="D18" i="11"/>
  <c r="B14" i="11"/>
  <c r="G14" i="11" s="1"/>
  <c r="B13" i="11"/>
  <c r="G13" i="11" s="1"/>
  <c r="B17" i="11"/>
  <c r="G17" i="11" s="1"/>
  <c r="B15" i="11"/>
  <c r="G15" i="11" s="1"/>
  <c r="B21" i="11" l="1"/>
  <c r="B18" i="11"/>
  <c r="G18" i="11" s="1"/>
  <c r="G21" i="11" l="1"/>
</calcChain>
</file>

<file path=xl/sharedStrings.xml><?xml version="1.0" encoding="utf-8"?>
<sst xmlns="http://schemas.openxmlformats.org/spreadsheetml/2006/main" count="216" uniqueCount="76">
  <si>
    <t>Quintile 2</t>
  </si>
  <si>
    <t>Quintile 3</t>
  </si>
  <si>
    <t>Quintile 4</t>
  </si>
  <si>
    <t>Total</t>
  </si>
  <si>
    <t>Smoking Prevalence</t>
  </si>
  <si>
    <t>Price elasticity of Demand</t>
  </si>
  <si>
    <t>Population</t>
  </si>
  <si>
    <t>Annual Household 
Expenditure (per adult equivalent)</t>
  </si>
  <si>
    <t>COPD</t>
  </si>
  <si>
    <t>Stroke</t>
  </si>
  <si>
    <t>IHD</t>
  </si>
  <si>
    <t>Tobacco Related Disease</t>
  </si>
  <si>
    <t>Total CHE</t>
  </si>
  <si>
    <t xml:space="preserve">TOTAL  </t>
  </si>
  <si>
    <t>Size of Tobacco Tax</t>
  </si>
  <si>
    <t>Incremental Change in CHE</t>
  </si>
  <si>
    <t>Income Group 1 (poorest)</t>
  </si>
  <si>
    <t>Income Group 2</t>
  </si>
  <si>
    <t>Income Group 3</t>
  </si>
  <si>
    <t>Income Group 4</t>
  </si>
  <si>
    <t>Income Group 5 (richest)</t>
  </si>
  <si>
    <t>Lung Cancer</t>
  </si>
  <si>
    <t>Bladder Cancer</t>
  </si>
  <si>
    <t>Chronic Obstructive Pulmonary Disorder (COPD), Lung Cancer, Ischemic Heart Disease (IHD), Hypertensive Heart Disease (HD), Bladder Cancer</t>
  </si>
  <si>
    <t>*Values are the same for all income groups. All currency in 2012 USD</t>
  </si>
  <si>
    <t>Table 2. Epidemiology and Hospital Utilisation</t>
  </si>
  <si>
    <t>Relative Hospital Utilization Weight (average for all illnesses; group 3 = 1)</t>
  </si>
  <si>
    <t>Fraction of Hospital Cost Paid Out of Pocket</t>
  </si>
  <si>
    <t>All</t>
  </si>
  <si>
    <t>Elasticity of Participation 
(i.e. quitting)*</t>
  </si>
  <si>
    <t>* The percentage point change in the probability of quitting with respect to a one percent increase in price; based on half the price elasticity of demand</t>
  </si>
  <si>
    <t>Annual Hospital Treatment Cost</t>
  </si>
  <si>
    <t>Proportion of Hospital Treatments by Tobacco-related Illness</t>
  </si>
  <si>
    <t>Annual Average Rate of Hospital Utilization (average for all smokers)*</t>
  </si>
  <si>
    <t>Number of Smokers Hospitalised for this Illness (annually)</t>
  </si>
  <si>
    <t>OOP from Hospitalisation</t>
  </si>
  <si>
    <t>Proportion OOP of household expenditure</t>
  </si>
  <si>
    <t>Prevalence of CHE from Illness</t>
  </si>
  <si>
    <t>All currency in 2012 USD</t>
  </si>
  <si>
    <t>Table 3. Average Hospital Cost of Treatment for Tobacco-Related Illness</t>
  </si>
  <si>
    <t>Table 4. Calculations of Catastrophic Health Expenditure</t>
  </si>
  <si>
    <t>Prevalence of Catastrophic Health Expenditure</t>
  </si>
  <si>
    <t>Number of quitters</t>
  </si>
  <si>
    <t>Number of prevalent cases among smokers</t>
  </si>
  <si>
    <t>Number of Cases Averted</t>
  </si>
  <si>
    <t xml:space="preserve">   Status Quo</t>
  </si>
  <si>
    <t xml:space="preserve">   50% Tax</t>
  </si>
  <si>
    <t xml:space="preserve">   COPD</t>
  </si>
  <si>
    <t xml:space="preserve">   Lung Cancer</t>
  </si>
  <si>
    <t xml:space="preserve">   Stroke</t>
  </si>
  <si>
    <t xml:space="preserve">   IHD</t>
  </si>
  <si>
    <t xml:space="preserve">   Bladder Cancer</t>
  </si>
  <si>
    <t xml:space="preserve">   Total</t>
  </si>
  <si>
    <t xml:space="preserve">   Hypertensive HD</t>
  </si>
  <si>
    <t>Hypertensive HD</t>
  </si>
  <si>
    <t>Quintile 1 
(poorest)</t>
  </si>
  <si>
    <t>Quintile 5
(richest)</t>
  </si>
  <si>
    <t>Number of prevalent cases among 
smokers</t>
  </si>
  <si>
    <t>* Based on prevalence of illness among smokers and annual rate of hospital treatment among people with illness. 
All currency in 2012 USD</t>
  </si>
  <si>
    <t>Table 1. General Population Information</t>
  </si>
  <si>
    <t>Catastrophic expenditure threshold</t>
  </si>
  <si>
    <t>Table 4. Calculation of Catastrophic Health Expenditure</t>
  </si>
  <si>
    <t>Number of prevalent cases among non-smokers</t>
  </si>
  <si>
    <t>Number of non-smokers hospitalised for this Illness (annually)</t>
  </si>
  <si>
    <r>
      <t xml:space="preserve">Baseline Catastrophic Health Expenditure Figure
</t>
    </r>
    <r>
      <rPr>
        <sz val="12"/>
        <color theme="1"/>
        <rFont val="Arial"/>
        <family val="2"/>
      </rPr>
      <t>This figure shows the levels of CHE from the totals for tobacco-related illness at baseline, for smokers and non-smokers.</t>
    </r>
    <r>
      <rPr>
        <b/>
        <sz val="14"/>
        <color theme="1"/>
        <rFont val="Arial"/>
        <family val="2"/>
      </rPr>
      <t xml:space="preserve">
</t>
    </r>
  </si>
  <si>
    <t>Table 5. Taxes and Behavioural Information</t>
  </si>
  <si>
    <r>
      <rPr>
        <b/>
        <sz val="14"/>
        <color theme="1"/>
        <rFont val="Arial"/>
        <family val="2"/>
      </rPr>
      <t>Tax Scenario Catastrophic Health Expenditure Calculation</t>
    </r>
    <r>
      <rPr>
        <sz val="12"/>
        <color theme="1"/>
        <rFont val="Arial"/>
        <family val="2"/>
      </rPr>
      <t xml:space="preserve">
The following  sheet shows the calculations for catastrophic health expenditure similar to the calculations in the 'Baseline CHE' sheet, however, now the prevalence of smoking is reduced due to the implementation of the tax. 
</t>
    </r>
    <r>
      <rPr>
        <b/>
        <sz val="12"/>
        <color theme="1"/>
        <rFont val="Arial"/>
        <family val="2"/>
      </rPr>
      <t>Instructions</t>
    </r>
    <r>
      <rPr>
        <sz val="12"/>
        <color theme="1"/>
        <rFont val="Arial"/>
        <family val="2"/>
      </rPr>
      <t>: The new levels of CHE under the tax scenario are calculated in this sheet (only working through the new prevalence estimates). For COPD, these calculations have been done for you for income group 1. Calculate the figures in the yellow cells for the rest of the groups.</t>
    </r>
  </si>
  <si>
    <t>Table 6. Calculations of Catastrophic Health Expenditure</t>
  </si>
  <si>
    <r>
      <t xml:space="preserve">Tax Scenario Catastrophic Health Expenditure Figure
</t>
    </r>
    <r>
      <rPr>
        <sz val="12"/>
        <color theme="1"/>
        <rFont val="Arial"/>
        <family val="2"/>
      </rPr>
      <t>This figure shows the post-tax levels of CHE, based on the tobacco-related illness figures in the post-tax scenario from the previous sheet.</t>
    </r>
    <r>
      <rPr>
        <b/>
        <sz val="14"/>
        <color theme="1"/>
        <rFont val="Arial"/>
        <family val="2"/>
      </rPr>
      <t xml:space="preserve">
</t>
    </r>
  </si>
  <si>
    <t>Table 7</t>
  </si>
  <si>
    <r>
      <rPr>
        <b/>
        <sz val="14"/>
        <color theme="1"/>
        <rFont val="Arial"/>
        <family val="2"/>
      </rPr>
      <t>Results</t>
    </r>
    <r>
      <rPr>
        <sz val="12"/>
        <color theme="1"/>
        <rFont val="Arial"/>
        <family val="2"/>
      </rPr>
      <t xml:space="preserve">
This sheet summarises results for the policy scenario of a 50% tax.
</t>
    </r>
    <r>
      <rPr>
        <b/>
        <sz val="12"/>
        <color theme="1"/>
        <rFont val="Arial"/>
        <family val="2"/>
      </rPr>
      <t>Instructions:</t>
    </r>
    <r>
      <rPr>
        <sz val="12"/>
        <color theme="1"/>
        <rFont val="Arial"/>
        <family val="2"/>
      </rPr>
      <t xml:space="preserve"> In the top row of table 7, the number of quitters as a result of the tax is calculated for you. Calculate this figure for the rest of the groups and overall. Next, the number of cases of illness averted are estimated. Calculate these for groups 2 through 5 and the overall estimate as well. Based on your estimates of CHE in previous sheets, rows 21 and 22 should show the levels of CHE in the different states of the world (without and with a tax). In row 24, calculate the change in given the implementation of the tax. The figures to the right will then update.  Who gains the largest reduction in catastrophic health expenditure?  From which illness do the largest gains accrue?</t>
    </r>
  </si>
  <si>
    <t>Annual Average Rate of Hospital Utilization - Non Smokers</t>
  </si>
  <si>
    <t>refer to Baseline Inputs sheet to change</t>
  </si>
  <si>
    <t>Catastrophic Expenditure Threshold</t>
  </si>
  <si>
    <r>
      <rPr>
        <b/>
        <sz val="14"/>
        <color theme="1"/>
        <rFont val="Arial"/>
        <family val="2"/>
      </rPr>
      <t>Tax Scenario Inputs</t>
    </r>
    <r>
      <rPr>
        <sz val="12"/>
        <color theme="1"/>
        <rFont val="Arial"/>
        <family val="2"/>
      </rPr>
      <t xml:space="preserve">
This sheet calculates the effect of a 50% increase in the tax on tobacco. As a simplifying assumption, we assume that the tax will only affect smoking prevalence through the "elasticity of participation", shown in Table 5. The "elasticity of participation" is the elasticity of adopting or quitting smoking. This parameter is defined as one half of the price elasticity of demand (see references in paper). This effect is seen through the smoking prevalence variable in row 16. 
</t>
    </r>
    <r>
      <rPr>
        <b/>
        <sz val="12"/>
        <color theme="1"/>
        <rFont val="Arial"/>
        <family val="2"/>
      </rPr>
      <t xml:space="preserve">Instructions: </t>
    </r>
    <r>
      <rPr>
        <sz val="12"/>
        <color theme="1"/>
        <rFont val="Arial"/>
        <family val="2"/>
      </rPr>
      <t>The elasticity of participation and new smoking prevalence is calculated for income group 1. Complete these figures in the yellow cells for the rest of the income groups. This will then feed through into the figure showing the elasticity of participation. Based on the elasticities, do you expect the tax to have a bigger or smaller effect on the poor in terms of CHE?</t>
    </r>
  </si>
  <si>
    <t>Revised Oct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</si>
</sst>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 #,##0_-;_-* &quot;-&quot;??_-;_-@_-"/>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4"/>
      <color theme="1"/>
      <name val="Arial"/>
      <family val="2"/>
    </font>
    <font>
      <sz val="12"/>
      <color theme="1"/>
      <name val="Arial"/>
      <family val="2"/>
    </font>
    <font>
      <sz val="11"/>
      <color theme="1"/>
      <name val="Arial"/>
      <family val="2"/>
    </font>
    <font>
      <sz val="12"/>
      <color rgb="FF000000"/>
      <name val="Arial"/>
      <family val="2"/>
    </font>
    <font>
      <b/>
      <sz val="12"/>
      <color theme="1"/>
      <name val="Calibri"/>
      <family val="2"/>
      <scheme val="minor"/>
    </font>
    <font>
      <sz val="12"/>
      <color theme="1"/>
      <name val="Calibri"/>
      <family val="2"/>
      <scheme val="minor"/>
    </font>
    <font>
      <sz val="14"/>
      <color theme="1"/>
      <name val="Calibri"/>
      <family val="2"/>
      <scheme val="minor"/>
    </font>
    <font>
      <i/>
      <sz val="14"/>
      <color theme="1"/>
      <name val="Calibri"/>
      <family val="2"/>
      <scheme val="minor"/>
    </font>
    <font>
      <b/>
      <sz val="12"/>
      <color theme="1"/>
      <name val="Arial"/>
      <family val="2"/>
    </font>
    <font>
      <b/>
      <i/>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5">
    <xf numFmtId="0" fontId="0" fillId="0" borderId="0" xfId="0"/>
    <xf numFmtId="0" fontId="2" fillId="0" borderId="0" xfId="0" applyFont="1"/>
    <xf numFmtId="0" fontId="2" fillId="0" borderId="3" xfId="0" applyFont="1" applyBorder="1" applyAlignment="1">
      <alignment wrapText="1"/>
    </xf>
    <xf numFmtId="3" fontId="0" fillId="0" borderId="0" xfId="0" applyNumberFormat="1" applyBorder="1" applyAlignment="1">
      <alignment horizontal="center"/>
    </xf>
    <xf numFmtId="0" fontId="3" fillId="0" borderId="0" xfId="0" applyFont="1" applyBorder="1"/>
    <xf numFmtId="0" fontId="0" fillId="0" borderId="0" xfId="0" applyBorder="1" applyAlignment="1">
      <alignment horizontal="center"/>
    </xf>
    <xf numFmtId="0" fontId="2" fillId="0" borderId="0" xfId="0" applyFont="1" applyFill="1" applyBorder="1" applyAlignment="1">
      <alignment horizontal="center"/>
    </xf>
    <xf numFmtId="10" fontId="0" fillId="0" borderId="0" xfId="0" applyNumberFormat="1"/>
    <xf numFmtId="0" fontId="0" fillId="0" borderId="0" xfId="0" applyFill="1"/>
    <xf numFmtId="0" fontId="0" fillId="0" borderId="0" xfId="0" applyBorder="1"/>
    <xf numFmtId="3" fontId="0" fillId="0" borderId="0" xfId="0" applyNumberFormat="1" applyBorder="1" applyAlignment="1"/>
    <xf numFmtId="1" fontId="0" fillId="0" borderId="0" xfId="0" applyNumberFormat="1" applyBorder="1"/>
    <xf numFmtId="0" fontId="2" fillId="0" borderId="0" xfId="0" applyFont="1" applyFill="1" applyAlignment="1">
      <alignment horizontal="left" vertical="top"/>
    </xf>
    <xf numFmtId="0" fontId="8" fillId="0" borderId="0" xfId="0" applyFont="1"/>
    <xf numFmtId="0" fontId="9" fillId="0" borderId="0" xfId="0" applyFont="1" applyFill="1" applyBorder="1"/>
    <xf numFmtId="0" fontId="10" fillId="0" borderId="0" xfId="0" applyFont="1"/>
    <xf numFmtId="0" fontId="10" fillId="0" borderId="9" xfId="0" applyFont="1" applyBorder="1" applyAlignment="1">
      <alignment horizontal="center"/>
    </xf>
    <xf numFmtId="0" fontId="9" fillId="0" borderId="9" xfId="0" applyFont="1" applyBorder="1" applyAlignment="1">
      <alignment horizontal="center" wrapText="1"/>
    </xf>
    <xf numFmtId="0" fontId="9" fillId="0" borderId="9" xfId="0" applyFont="1" applyFill="1" applyBorder="1" applyAlignment="1">
      <alignment horizontal="center"/>
    </xf>
    <xf numFmtId="0" fontId="9" fillId="0" borderId="2" xfId="0" applyFont="1" applyBorder="1" applyAlignment="1">
      <alignment vertical="top" wrapText="1"/>
    </xf>
    <xf numFmtId="3" fontId="10" fillId="0" borderId="2" xfId="2" applyNumberFormat="1" applyFont="1" applyBorder="1" applyAlignment="1">
      <alignment horizontal="center" vertical="top"/>
    </xf>
    <xf numFmtId="3" fontId="10" fillId="4" borderId="2" xfId="2" applyNumberFormat="1" applyFont="1" applyFill="1" applyBorder="1" applyAlignment="1">
      <alignment horizontal="center" vertical="top"/>
    </xf>
    <xf numFmtId="3" fontId="10" fillId="4" borderId="2" xfId="0" applyNumberFormat="1" applyFont="1" applyFill="1" applyBorder="1" applyAlignment="1">
      <alignment vertical="top"/>
    </xf>
    <xf numFmtId="0" fontId="9" fillId="0" borderId="0" xfId="0" applyFont="1" applyBorder="1" applyAlignment="1">
      <alignment vertical="top" wrapText="1"/>
    </xf>
    <xf numFmtId="0" fontId="10" fillId="0" borderId="0" xfId="0" applyFont="1" applyFill="1" applyBorder="1" applyAlignment="1">
      <alignment vertical="top"/>
    </xf>
    <xf numFmtId="0" fontId="9" fillId="0" borderId="0" xfId="0" applyFont="1" applyBorder="1" applyAlignment="1">
      <alignment vertical="top"/>
    </xf>
    <xf numFmtId="2" fontId="10" fillId="0" borderId="0" xfId="0" applyNumberFormat="1" applyFont="1" applyBorder="1" applyAlignment="1">
      <alignment horizontal="center" vertical="top"/>
    </xf>
    <xf numFmtId="2" fontId="10" fillId="4" borderId="0" xfId="0" applyNumberFormat="1" applyFont="1" applyFill="1" applyBorder="1" applyAlignment="1">
      <alignment horizontal="center" vertical="top"/>
    </xf>
    <xf numFmtId="0" fontId="9" fillId="0" borderId="0" xfId="0" applyFont="1" applyFill="1" applyBorder="1" applyAlignment="1">
      <alignment vertical="top"/>
    </xf>
    <xf numFmtId="9" fontId="10" fillId="0" borderId="0" xfId="1" applyFont="1" applyBorder="1" applyAlignment="1">
      <alignment horizontal="center" vertical="top"/>
    </xf>
    <xf numFmtId="9" fontId="10" fillId="4" borderId="0" xfId="1" applyFont="1" applyFill="1" applyBorder="1" applyAlignment="1">
      <alignment horizontal="center" vertical="top"/>
    </xf>
    <xf numFmtId="0" fontId="9" fillId="0" borderId="6" xfId="0" applyFont="1" applyFill="1" applyBorder="1" applyAlignment="1">
      <alignment vertical="top"/>
    </xf>
    <xf numFmtId="10" fontId="10" fillId="0" borderId="6" xfId="1" applyNumberFormat="1" applyFont="1" applyBorder="1" applyAlignment="1">
      <alignment horizontal="center" vertical="top"/>
    </xf>
    <xf numFmtId="10" fontId="10" fillId="4" borderId="6" xfId="1" applyNumberFormat="1" applyFont="1" applyFill="1" applyBorder="1" applyAlignment="1">
      <alignment horizontal="center" vertical="top"/>
    </xf>
    <xf numFmtId="10" fontId="10" fillId="4" borderId="6" xfId="0" applyNumberFormat="1" applyFont="1" applyFill="1" applyBorder="1" applyAlignment="1">
      <alignment horizontal="center" vertical="top"/>
    </xf>
    <xf numFmtId="0" fontId="9" fillId="0" borderId="2" xfId="0" applyFont="1" applyBorder="1" applyAlignment="1">
      <alignment vertical="top"/>
    </xf>
    <xf numFmtId="3" fontId="10" fillId="0" borderId="2" xfId="0" applyNumberFormat="1" applyFont="1" applyBorder="1" applyAlignment="1">
      <alignment vertical="top"/>
    </xf>
    <xf numFmtId="0" fontId="10" fillId="0" borderId="0" xfId="0" applyFont="1" applyBorder="1" applyAlignment="1">
      <alignment vertical="top"/>
    </xf>
    <xf numFmtId="10" fontId="10" fillId="0" borderId="6" xfId="0" applyNumberFormat="1" applyFont="1" applyBorder="1" applyAlignment="1">
      <alignment horizontal="center" vertical="top"/>
    </xf>
    <xf numFmtId="0" fontId="9" fillId="0" borderId="6" xfId="0" applyFont="1" applyFill="1" applyBorder="1"/>
    <xf numFmtId="10" fontId="10" fillId="4" borderId="6" xfId="0" applyNumberFormat="1" applyFont="1" applyFill="1" applyBorder="1" applyAlignment="1">
      <alignment horizontal="center"/>
    </xf>
    <xf numFmtId="0" fontId="4" fillId="0" borderId="0" xfId="0" applyFont="1" applyFill="1" applyAlignment="1">
      <alignment horizontal="left" vertical="top"/>
    </xf>
    <xf numFmtId="9" fontId="4" fillId="3" borderId="0" xfId="1" applyFont="1" applyFill="1" applyAlignment="1">
      <alignment horizontal="center" vertical="top"/>
    </xf>
    <xf numFmtId="3" fontId="10" fillId="5" borderId="2" xfId="0" applyNumberFormat="1" applyFont="1" applyFill="1" applyBorder="1" applyAlignment="1">
      <alignment vertical="top"/>
    </xf>
    <xf numFmtId="0" fontId="10" fillId="5" borderId="0" xfId="0" applyFont="1" applyFill="1" applyBorder="1" applyAlignment="1">
      <alignment vertical="top"/>
    </xf>
    <xf numFmtId="10" fontId="10" fillId="5" borderId="6" xfId="0" applyNumberFormat="1" applyFont="1" applyFill="1" applyBorder="1" applyAlignment="1">
      <alignment horizontal="center" vertical="top"/>
    </xf>
    <xf numFmtId="10" fontId="10" fillId="5" borderId="6" xfId="0" applyNumberFormat="1" applyFont="1" applyFill="1" applyBorder="1" applyAlignment="1">
      <alignment horizontal="center"/>
    </xf>
    <xf numFmtId="0" fontId="4" fillId="0" borderId="0" xfId="0" applyFont="1"/>
    <xf numFmtId="0" fontId="11" fillId="0" borderId="0" xfId="0" applyFont="1"/>
    <xf numFmtId="0" fontId="4" fillId="0" borderId="8" xfId="0" applyFont="1" applyBorder="1"/>
    <xf numFmtId="0" fontId="4" fillId="0" borderId="9" xfId="0" applyFont="1" applyBorder="1" applyAlignment="1">
      <alignment horizontal="center" wrapText="1"/>
    </xf>
    <xf numFmtId="0" fontId="4" fillId="0" borderId="9" xfId="0" applyFont="1" applyFill="1" applyBorder="1" applyAlignment="1">
      <alignment horizontal="center"/>
    </xf>
    <xf numFmtId="0" fontId="4" fillId="0" borderId="1" xfId="0" applyFont="1" applyBorder="1"/>
    <xf numFmtId="0" fontId="11" fillId="0" borderId="2" xfId="2" applyNumberFormat="1" applyFont="1" applyBorder="1" applyAlignment="1">
      <alignment horizontal="center"/>
    </xf>
    <xf numFmtId="0" fontId="4" fillId="0" borderId="5" xfId="0" applyFont="1" applyBorder="1" applyAlignment="1">
      <alignment wrapText="1"/>
    </xf>
    <xf numFmtId="0" fontId="11" fillId="0" borderId="6" xfId="2" applyNumberFormat="1" applyFont="1" applyBorder="1" applyAlignment="1">
      <alignment horizontal="center"/>
    </xf>
    <xf numFmtId="1" fontId="11" fillId="0" borderId="6" xfId="2" applyNumberFormat="1" applyFont="1" applyBorder="1" applyAlignment="1">
      <alignment horizontal="center"/>
    </xf>
    <xf numFmtId="0" fontId="12" fillId="0" borderId="0" xfId="0" applyFont="1" applyBorder="1"/>
    <xf numFmtId="0" fontId="11" fillId="0" borderId="0" xfId="0" applyFont="1" applyBorder="1" applyAlignment="1">
      <alignment horizontal="center"/>
    </xf>
    <xf numFmtId="1" fontId="11" fillId="0" borderId="0" xfId="0" applyNumberFormat="1" applyFont="1" applyBorder="1"/>
    <xf numFmtId="0" fontId="4" fillId="0" borderId="3" xfId="0" applyFont="1" applyBorder="1" applyAlignment="1">
      <alignment wrapText="1"/>
    </xf>
    <xf numFmtId="0" fontId="11" fillId="0" borderId="0" xfId="0" applyFont="1" applyBorder="1"/>
    <xf numFmtId="0" fontId="4" fillId="0" borderId="3" xfId="0" applyFont="1" applyBorder="1" applyAlignment="1"/>
    <xf numFmtId="0" fontId="4" fillId="0" borderId="3" xfId="0" applyFont="1" applyBorder="1" applyAlignment="1">
      <alignment vertical="top"/>
    </xf>
    <xf numFmtId="0" fontId="11" fillId="0" borderId="0" xfId="0" applyFont="1" applyFill="1" applyBorder="1" applyAlignment="1">
      <alignment horizontal="center"/>
    </xf>
    <xf numFmtId="0" fontId="11" fillId="0" borderId="0" xfId="0" applyFont="1" applyAlignment="1">
      <alignment horizontal="center"/>
    </xf>
    <xf numFmtId="0" fontId="4" fillId="0" borderId="3" xfId="0" applyFont="1" applyBorder="1" applyAlignment="1">
      <alignment vertical="top" wrapText="1"/>
    </xf>
    <xf numFmtId="2" fontId="11" fillId="0" borderId="0" xfId="0" applyNumberFormat="1" applyFont="1" applyBorder="1" applyAlignment="1">
      <alignment horizontal="center" vertical="top"/>
    </xf>
    <xf numFmtId="0" fontId="11" fillId="0" borderId="0" xfId="0" applyFont="1" applyFill="1" applyBorder="1" applyAlignment="1">
      <alignment horizontal="center" vertical="top"/>
    </xf>
    <xf numFmtId="2" fontId="11" fillId="0" borderId="0" xfId="0" applyNumberFormat="1" applyFont="1" applyFill="1" applyBorder="1" applyAlignment="1">
      <alignment horizontal="center" vertical="top"/>
    </xf>
    <xf numFmtId="0" fontId="4" fillId="0" borderId="5" xfId="0" applyFont="1" applyBorder="1" applyAlignment="1">
      <alignment vertical="top" wrapText="1"/>
    </xf>
    <xf numFmtId="0" fontId="11" fillId="0" borderId="6" xfId="0" applyFont="1" applyBorder="1" applyAlignment="1">
      <alignment horizontal="center" vertical="top"/>
    </xf>
    <xf numFmtId="2" fontId="11" fillId="0" borderId="6" xfId="0" applyNumberFormat="1" applyFont="1" applyBorder="1" applyAlignment="1">
      <alignment horizontal="center" vertical="top"/>
    </xf>
    <xf numFmtId="0" fontId="12" fillId="0" borderId="2" xfId="0" applyFont="1" applyBorder="1" applyAlignment="1"/>
    <xf numFmtId="0" fontId="4" fillId="0" borderId="0" xfId="0" applyFont="1" applyBorder="1"/>
    <xf numFmtId="3" fontId="11" fillId="0" borderId="0" xfId="0" applyNumberFormat="1" applyFont="1" applyBorder="1" applyAlignment="1">
      <alignment horizontal="center"/>
    </xf>
    <xf numFmtId="0" fontId="4" fillId="0" borderId="9" xfId="0" applyFont="1" applyBorder="1" applyAlignment="1">
      <alignment wrapText="1"/>
    </xf>
    <xf numFmtId="3" fontId="4" fillId="0" borderId="10" xfId="0" applyNumberFormat="1" applyFont="1" applyBorder="1" applyAlignment="1">
      <alignment horizontal="center" wrapText="1"/>
    </xf>
    <xf numFmtId="0" fontId="4" fillId="0" borderId="3" xfId="0" applyFont="1" applyBorder="1"/>
    <xf numFmtId="166" fontId="11" fillId="0" borderId="0" xfId="1" applyNumberFormat="1" applyFont="1" applyBorder="1" applyAlignment="1">
      <alignment horizontal="center"/>
    </xf>
    <xf numFmtId="1" fontId="11" fillId="0" borderId="4" xfId="2" applyNumberFormat="1" applyFont="1" applyBorder="1" applyAlignment="1">
      <alignment horizontal="center"/>
    </xf>
    <xf numFmtId="0" fontId="11" fillId="0" borderId="4" xfId="2" applyNumberFormat="1" applyFont="1" applyBorder="1" applyAlignment="1">
      <alignment horizontal="center"/>
    </xf>
    <xf numFmtId="0" fontId="11" fillId="0" borderId="0" xfId="0" applyFont="1" applyBorder="1" applyAlignment="1"/>
    <xf numFmtId="0" fontId="4" fillId="0" borderId="5" xfId="0" applyFont="1" applyBorder="1"/>
    <xf numFmtId="166" fontId="11" fillId="0" borderId="6" xfId="1" applyNumberFormat="1" applyFont="1" applyBorder="1" applyAlignment="1">
      <alignment horizontal="center"/>
    </xf>
    <xf numFmtId="0" fontId="11" fillId="0" borderId="7" xfId="2" applyNumberFormat="1" applyFont="1" applyBorder="1" applyAlignment="1">
      <alignment horizontal="center"/>
    </xf>
    <xf numFmtId="2" fontId="11" fillId="0" borderId="6" xfId="0" applyNumberFormat="1" applyFont="1" applyBorder="1" applyAlignment="1">
      <alignment horizontal="center"/>
    </xf>
    <xf numFmtId="0" fontId="11" fillId="0" borderId="7" xfId="0" applyFont="1" applyBorder="1" applyAlignment="1">
      <alignment horizontal="center"/>
    </xf>
    <xf numFmtId="0" fontId="4" fillId="0" borderId="2" xfId="0" applyFont="1" applyBorder="1"/>
    <xf numFmtId="0" fontId="4" fillId="0" borderId="2" xfId="0" applyFont="1" applyBorder="1" applyAlignment="1">
      <alignment horizontal="center" wrapText="1"/>
    </xf>
    <xf numFmtId="0" fontId="4" fillId="0" borderId="2" xfId="0" applyFont="1" applyFill="1" applyBorder="1" applyAlignment="1">
      <alignment horizontal="center"/>
    </xf>
    <xf numFmtId="0" fontId="4" fillId="0" borderId="2" xfId="0" applyFont="1" applyFill="1" applyBorder="1"/>
    <xf numFmtId="0" fontId="11" fillId="0" borderId="2" xfId="0" applyFont="1" applyFill="1" applyBorder="1" applyAlignment="1">
      <alignment horizontal="center"/>
    </xf>
    <xf numFmtId="0" fontId="4" fillId="0" borderId="6" xfId="0" applyFont="1" applyFill="1" applyBorder="1" applyAlignment="1">
      <alignment wrapText="1"/>
    </xf>
    <xf numFmtId="0" fontId="11" fillId="0" borderId="6" xfId="0" applyFont="1" applyFill="1" applyBorder="1" applyAlignment="1">
      <alignment horizontal="center" vertical="top"/>
    </xf>
    <xf numFmtId="0" fontId="4" fillId="0" borderId="3" xfId="0" applyFont="1" applyFill="1" applyBorder="1" applyAlignment="1">
      <alignment vertical="top"/>
    </xf>
    <xf numFmtId="164" fontId="11" fillId="0" borderId="0" xfId="0" applyNumberFormat="1" applyFont="1" applyFill="1" applyBorder="1" applyAlignment="1">
      <alignment horizontal="center" vertical="top"/>
    </xf>
    <xf numFmtId="9" fontId="4" fillId="3" borderId="0" xfId="1" applyFont="1" applyFill="1" applyAlignment="1">
      <alignment horizontal="left" vertical="top"/>
    </xf>
    <xf numFmtId="0" fontId="11" fillId="4" borderId="6" xfId="0" applyFont="1" applyFill="1" applyBorder="1" applyAlignment="1">
      <alignment horizontal="center" vertical="top"/>
    </xf>
    <xf numFmtId="164" fontId="11" fillId="4" borderId="0" xfId="0" applyNumberFormat="1" applyFont="1" applyFill="1" applyBorder="1" applyAlignment="1">
      <alignment horizontal="center" vertical="top"/>
    </xf>
    <xf numFmtId="0" fontId="4" fillId="5" borderId="0" xfId="0" applyFont="1" applyFill="1" applyAlignment="1">
      <alignment vertical="top"/>
    </xf>
    <xf numFmtId="1" fontId="10" fillId="0" borderId="9" xfId="0" applyNumberFormat="1" applyFont="1" applyBorder="1" applyAlignment="1">
      <alignment horizontal="center" vertical="top"/>
    </xf>
    <xf numFmtId="1" fontId="10" fillId="4" borderId="9" xfId="0" applyNumberFormat="1" applyFont="1" applyFill="1" applyBorder="1" applyAlignment="1">
      <alignment horizontal="center" vertical="top"/>
    </xf>
    <xf numFmtId="1" fontId="10" fillId="0" borderId="0" xfId="0" applyNumberFormat="1" applyFont="1" applyBorder="1" applyAlignment="1">
      <alignment horizontal="center" vertical="top"/>
    </xf>
    <xf numFmtId="1" fontId="10" fillId="4" borderId="0" xfId="0" applyNumberFormat="1" applyFont="1" applyFill="1" applyBorder="1" applyAlignment="1">
      <alignment horizontal="center" vertical="top"/>
    </xf>
    <xf numFmtId="3" fontId="10" fillId="0" borderId="2" xfId="0" applyNumberFormat="1" applyFont="1" applyFill="1" applyBorder="1" applyAlignment="1">
      <alignment vertical="top"/>
    </xf>
    <xf numFmtId="0" fontId="10" fillId="0" borderId="9" xfId="0" applyNumberFormat="1" applyFont="1" applyBorder="1" applyAlignment="1">
      <alignment horizontal="center" vertical="top"/>
    </xf>
    <xf numFmtId="0" fontId="9" fillId="0" borderId="0" xfId="0" applyFont="1"/>
    <xf numFmtId="0" fontId="10" fillId="0" borderId="9" xfId="0" applyFont="1" applyBorder="1"/>
    <xf numFmtId="0" fontId="9" fillId="0" borderId="9" xfId="0" applyFont="1" applyBorder="1" applyAlignment="1">
      <alignment horizontal="center"/>
    </xf>
    <xf numFmtId="0" fontId="9" fillId="0" borderId="0" xfId="0" applyFont="1" applyBorder="1"/>
    <xf numFmtId="165" fontId="10" fillId="0" borderId="0" xfId="2" applyNumberFormat="1" applyFont="1" applyBorder="1" applyAlignment="1"/>
    <xf numFmtId="165" fontId="10" fillId="4" borderId="0" xfId="2" applyNumberFormat="1" applyFont="1" applyFill="1" applyBorder="1" applyAlignment="1"/>
    <xf numFmtId="0" fontId="10" fillId="0" borderId="0" xfId="0" applyFont="1" applyBorder="1" applyAlignment="1">
      <alignment horizontal="center"/>
    </xf>
    <xf numFmtId="0" fontId="14" fillId="0" borderId="0" xfId="0" applyFont="1" applyBorder="1"/>
    <xf numFmtId="0" fontId="9" fillId="0" borderId="0" xfId="0" applyFont="1" applyBorder="1" applyAlignment="1">
      <alignment horizontal="center"/>
    </xf>
    <xf numFmtId="0" fontId="9" fillId="0" borderId="0" xfId="0" applyFont="1" applyFill="1" applyBorder="1" applyAlignment="1">
      <alignment horizontal="center"/>
    </xf>
    <xf numFmtId="3" fontId="10" fillId="0" borderId="0" xfId="0" applyNumberFormat="1" applyFont="1" applyBorder="1" applyAlignment="1">
      <alignment horizontal="center"/>
    </xf>
    <xf numFmtId="3" fontId="10" fillId="4" borderId="0"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Border="1"/>
    <xf numFmtId="10" fontId="10" fillId="0" borderId="0" xfId="0" applyNumberFormat="1" applyFont="1" applyBorder="1"/>
    <xf numFmtId="0" fontId="9" fillId="0" borderId="6" xfId="0" applyFont="1" applyBorder="1"/>
    <xf numFmtId="10" fontId="10" fillId="4" borderId="6" xfId="0" applyNumberFormat="1" applyFont="1" applyFill="1" applyBorder="1"/>
    <xf numFmtId="9" fontId="4" fillId="6" borderId="0" xfId="1" applyFont="1" applyFill="1" applyBorder="1" applyAlignment="1">
      <alignment horizontal="center"/>
    </xf>
    <xf numFmtId="0" fontId="3" fillId="0" borderId="0" xfId="0" applyFont="1" applyFill="1" applyAlignment="1">
      <alignment horizontal="left" vertical="top"/>
    </xf>
    <xf numFmtId="0" fontId="12" fillId="0" borderId="2" xfId="0" applyFont="1" applyBorder="1" applyAlignment="1">
      <alignment horizontal="left" wrapText="1"/>
    </xf>
    <xf numFmtId="0" fontId="12" fillId="0" borderId="0" xfId="0" applyFont="1" applyBorder="1" applyAlignment="1">
      <alignment horizontal="left" wrapText="1"/>
    </xf>
    <xf numFmtId="0" fontId="9" fillId="0" borderId="9" xfId="0" applyFont="1" applyFill="1" applyBorder="1" applyAlignment="1">
      <alignment horizontal="center" vertical="top"/>
    </xf>
    <xf numFmtId="0" fontId="9" fillId="0" borderId="9" xfId="0" applyFont="1" applyBorder="1" applyAlignment="1">
      <alignment horizontal="center"/>
    </xf>
    <xf numFmtId="0" fontId="9" fillId="0" borderId="9" xfId="0" applyFont="1" applyFill="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xf>
    <xf numFmtId="0" fontId="0" fillId="2" borderId="0" xfId="0" applyFont="1" applyFill="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Baseline Inputs'!$A$5</c:f>
              <c:strCache>
                <c:ptCount val="1"/>
                <c:pt idx="0">
                  <c:v>Annual Household 
Expenditure (per adult equivalent)</c:v>
                </c:pt>
              </c:strCache>
            </c:strRef>
          </c:tx>
          <c:spPr>
            <a:solidFill>
              <a:schemeClr val="accent1"/>
            </a:solidFill>
            <a:ln>
              <a:noFill/>
            </a:ln>
            <a:effectLst/>
          </c:spPr>
          <c:invertIfNegative val="0"/>
          <c:cat>
            <c:strRef>
              <c:f>'1. Baseline Inputs'!$B$3:$F$3</c:f>
              <c:strCache>
                <c:ptCount val="5"/>
                <c:pt idx="0">
                  <c:v>Income Group 1 (poorest)</c:v>
                </c:pt>
                <c:pt idx="1">
                  <c:v>Income Group 2</c:v>
                </c:pt>
                <c:pt idx="2">
                  <c:v>Income Group 3</c:v>
                </c:pt>
                <c:pt idx="3">
                  <c:v>Income Group 4</c:v>
                </c:pt>
                <c:pt idx="4">
                  <c:v>Income Group 5 (richest)</c:v>
                </c:pt>
              </c:strCache>
            </c:strRef>
          </c:cat>
          <c:val>
            <c:numRef>
              <c:f>'1. Baseline Inputs'!$B$5:$F$5</c:f>
              <c:numCache>
                <c:formatCode>General</c:formatCode>
                <c:ptCount val="5"/>
                <c:pt idx="0">
                  <c:v>1604</c:v>
                </c:pt>
                <c:pt idx="1">
                  <c:v>2589</c:v>
                </c:pt>
                <c:pt idx="2">
                  <c:v>3557</c:v>
                </c:pt>
                <c:pt idx="3">
                  <c:v>4943</c:v>
                </c:pt>
                <c:pt idx="4">
                  <c:v>9329</c:v>
                </c:pt>
              </c:numCache>
            </c:numRef>
          </c:val>
          <c:extLst>
            <c:ext xmlns:c16="http://schemas.microsoft.com/office/drawing/2014/chart" uri="{C3380CC4-5D6E-409C-BE32-E72D297353CC}">
              <c16:uniqueId val="{00000000-BB49-4C32-A439-F485B1BC9C1D}"/>
            </c:ext>
          </c:extLst>
        </c:ser>
        <c:dLbls>
          <c:showLegendKey val="0"/>
          <c:showVal val="0"/>
          <c:showCatName val="0"/>
          <c:showSerName val="0"/>
          <c:showPercent val="0"/>
          <c:showBubbleSize val="0"/>
        </c:dLbls>
        <c:gapWidth val="219"/>
        <c:overlap val="-27"/>
        <c:axId val="545835784"/>
        <c:axId val="545838080"/>
      </c:barChart>
      <c:catAx>
        <c:axId val="54583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838080"/>
        <c:crosses val="autoZero"/>
        <c:auto val="1"/>
        <c:lblAlgn val="ctr"/>
        <c:lblOffset val="100"/>
        <c:noMultiLvlLbl val="0"/>
      </c:catAx>
      <c:valAx>
        <c:axId val="545838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Annual Household Expenditure (per adult equivalent), 2012 USD</a:t>
                </a:r>
              </a:p>
            </c:rich>
          </c:tx>
          <c:layout>
            <c:manualLayout>
              <c:xMode val="edge"/>
              <c:yMode val="edge"/>
              <c:x val="3.3033033033033031E-2"/>
              <c:y val="0.2288971499380421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545835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Proportion of Hospital Treatments </a:t>
            </a:r>
            <a:br>
              <a:rPr lang="en-US" sz="1800" b="1"/>
            </a:br>
            <a:r>
              <a:rPr lang="en-US" sz="1800" b="1"/>
              <a:t>by Tobacco-related Illness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'1. Baseline Inputs'!$B$20</c:f>
              <c:strCache>
                <c:ptCount val="1"/>
                <c:pt idx="0">
                  <c:v>Proportion of Hospital Treatments by Tobacco-related Illness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2F-42AE-9119-BC84679F88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2F-42AE-9119-BC84679F88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2F-42AE-9119-BC84679F88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F2F-42AE-9119-BC84679F88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F2F-42AE-9119-BC84679F88F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F2F-42AE-9119-BC84679F88F6}"/>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Baseline Inputs'!$A$21:$A$26</c:f>
              <c:strCache>
                <c:ptCount val="6"/>
                <c:pt idx="0">
                  <c:v>COPD</c:v>
                </c:pt>
                <c:pt idx="1">
                  <c:v>Lung Cancer</c:v>
                </c:pt>
                <c:pt idx="2">
                  <c:v>Stroke</c:v>
                </c:pt>
                <c:pt idx="3">
                  <c:v>IHD</c:v>
                </c:pt>
                <c:pt idx="4">
                  <c:v>Hypertensive HD</c:v>
                </c:pt>
                <c:pt idx="5">
                  <c:v>Bladder Cancer</c:v>
                </c:pt>
              </c:strCache>
            </c:strRef>
          </c:cat>
          <c:val>
            <c:numRef>
              <c:f>'1. Baseline Inputs'!$B$21:$B$26</c:f>
              <c:numCache>
                <c:formatCode>0.0%</c:formatCode>
                <c:ptCount val="6"/>
                <c:pt idx="0">
                  <c:v>6.5000000000000002E-2</c:v>
                </c:pt>
                <c:pt idx="1">
                  <c:v>0.13500000000000001</c:v>
                </c:pt>
                <c:pt idx="2">
                  <c:v>0.19</c:v>
                </c:pt>
                <c:pt idx="3">
                  <c:v>0.55000000000000004</c:v>
                </c:pt>
                <c:pt idx="4">
                  <c:v>0.03</c:v>
                </c:pt>
                <c:pt idx="5">
                  <c:v>0.03</c:v>
                </c:pt>
              </c:numCache>
            </c:numRef>
          </c:val>
          <c:extLst>
            <c:ext xmlns:c16="http://schemas.microsoft.com/office/drawing/2014/chart" uri="{C3380CC4-5D6E-409C-BE32-E72D297353CC}">
              <c16:uniqueId val="{00000000-6297-4137-B834-5BB50A5F2C0A}"/>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3.179545350079601E-2"/>
          <c:y val="0.35171419923011615"/>
          <c:w val="0.294607470238333"/>
          <c:h val="0.34963939933227917"/>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Healthcare</a:t>
            </a:r>
            <a:r>
              <a:rPr lang="en-GB" sz="1600" b="1" baseline="0"/>
              <a:t> Utilisation (weight)</a:t>
            </a:r>
            <a:endParaRPr lang="en-GB"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Baseline Inputs'!$A$13</c:f>
              <c:strCache>
                <c:ptCount val="1"/>
                <c:pt idx="0">
                  <c:v>Relative Hospital Utilization Weight (average for all illnesses; group 3 = 1)</c:v>
                </c:pt>
              </c:strCache>
            </c:strRef>
          </c:tx>
          <c:spPr>
            <a:solidFill>
              <a:schemeClr val="accent1"/>
            </a:solidFill>
            <a:ln>
              <a:noFill/>
            </a:ln>
            <a:effectLst/>
          </c:spPr>
          <c:invertIfNegative val="0"/>
          <c:cat>
            <c:strRef>
              <c:f>'1. Baseline Inputs'!$B$9:$F$9</c:f>
              <c:strCache>
                <c:ptCount val="5"/>
                <c:pt idx="0">
                  <c:v>Income Group 1 (poorest)</c:v>
                </c:pt>
                <c:pt idx="1">
                  <c:v>Income Group 2</c:v>
                </c:pt>
                <c:pt idx="2">
                  <c:v>Income Group 3</c:v>
                </c:pt>
                <c:pt idx="3">
                  <c:v>Income Group 4</c:v>
                </c:pt>
                <c:pt idx="4">
                  <c:v>Income Group 5 (richest)</c:v>
                </c:pt>
              </c:strCache>
            </c:strRef>
          </c:cat>
          <c:val>
            <c:numRef>
              <c:f>'1. Baseline Inputs'!$B$13:$F$13</c:f>
              <c:numCache>
                <c:formatCode>General</c:formatCode>
                <c:ptCount val="5"/>
                <c:pt idx="0">
                  <c:v>0.95</c:v>
                </c:pt>
                <c:pt idx="1">
                  <c:v>0.95</c:v>
                </c:pt>
                <c:pt idx="2" formatCode="0.00">
                  <c:v>1</c:v>
                </c:pt>
                <c:pt idx="3">
                  <c:v>1.01</c:v>
                </c:pt>
                <c:pt idx="4">
                  <c:v>1.08</c:v>
                </c:pt>
              </c:numCache>
            </c:numRef>
          </c:val>
          <c:extLst>
            <c:ext xmlns:c16="http://schemas.microsoft.com/office/drawing/2014/chart" uri="{C3380CC4-5D6E-409C-BE32-E72D297353CC}">
              <c16:uniqueId val="{00000000-1E2D-4E1A-A768-9DB56D285E6F}"/>
            </c:ext>
          </c:extLst>
        </c:ser>
        <c:dLbls>
          <c:showLegendKey val="0"/>
          <c:showVal val="0"/>
          <c:showCatName val="0"/>
          <c:showSerName val="0"/>
          <c:showPercent val="0"/>
          <c:showBubbleSize val="0"/>
        </c:dLbls>
        <c:gapWidth val="219"/>
        <c:overlap val="-27"/>
        <c:axId val="552257336"/>
        <c:axId val="552261600"/>
      </c:barChart>
      <c:catAx>
        <c:axId val="55225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52261600"/>
        <c:crosses val="autoZero"/>
        <c:auto val="1"/>
        <c:lblAlgn val="ctr"/>
        <c:lblOffset val="100"/>
        <c:noMultiLvlLbl val="0"/>
      </c:catAx>
      <c:valAx>
        <c:axId val="552261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Weight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7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Baseline Prevalence of Catastrophic Health Expenditure</a:t>
            </a:r>
            <a:br>
              <a:rPr lang="en-GB" sz="1400" b="1"/>
            </a:br>
            <a:r>
              <a:rPr lang="en-GB" sz="1400" b="1"/>
              <a:t>for</a:t>
            </a:r>
            <a:r>
              <a:rPr lang="en-GB" sz="1400" b="1" baseline="0"/>
              <a:t> All Smoking-Related Illness</a:t>
            </a:r>
            <a:endParaRPr lang="en-GB"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Smokers</c:v>
          </c:tx>
          <c:spPr>
            <a:solidFill>
              <a:schemeClr val="accent1"/>
            </a:solidFill>
            <a:ln>
              <a:noFill/>
            </a:ln>
            <a:effectLst/>
          </c:spPr>
          <c:invertIfNegative val="0"/>
          <c:cat>
            <c:strRef>
              <c:f>' 2. Baseline CHE Smokers'!$B$5:$F$5</c:f>
              <c:strCache>
                <c:ptCount val="5"/>
                <c:pt idx="0">
                  <c:v>Income Group 1 (poorest)</c:v>
                </c:pt>
                <c:pt idx="1">
                  <c:v>Income Group 2</c:v>
                </c:pt>
                <c:pt idx="2">
                  <c:v>Income Group 3</c:v>
                </c:pt>
                <c:pt idx="3">
                  <c:v>Income Group 4</c:v>
                </c:pt>
                <c:pt idx="4">
                  <c:v>Income Group 5 (richest)</c:v>
                </c:pt>
              </c:strCache>
            </c:strRef>
          </c:cat>
          <c:val>
            <c:numRef>
              <c:f>' 2. Baseline CHE Smokers'!$B$43:$F$43</c:f>
              <c:numCache>
                <c:formatCode>0.00%</c:formatCode>
                <c:ptCount val="5"/>
              </c:numCache>
            </c:numRef>
          </c:val>
          <c:extLst>
            <c:ext xmlns:c16="http://schemas.microsoft.com/office/drawing/2014/chart" uri="{C3380CC4-5D6E-409C-BE32-E72D297353CC}">
              <c16:uniqueId val="{00000000-D1D0-449B-8B59-EDB1B7B4608A}"/>
            </c:ext>
          </c:extLst>
        </c:ser>
        <c:ser>
          <c:idx val="1"/>
          <c:order val="1"/>
          <c:tx>
            <c:v>Non-Smokers</c:v>
          </c:tx>
          <c:spPr>
            <a:solidFill>
              <a:schemeClr val="accent2"/>
            </a:solidFill>
            <a:ln>
              <a:noFill/>
            </a:ln>
            <a:effectLst/>
          </c:spPr>
          <c:invertIfNegative val="0"/>
          <c:val>
            <c:numRef>
              <c:f>'3. Baseline CHE Non-Smokers'!$B$43:$F$43</c:f>
              <c:numCache>
                <c:formatCode>0.00%</c:formatCode>
                <c:ptCount val="5"/>
                <c:pt idx="0">
                  <c:v>3.4199999999999994E-2</c:v>
                </c:pt>
                <c:pt idx="1">
                  <c:v>3.4199999999999994E-2</c:v>
                </c:pt>
                <c:pt idx="2">
                  <c:v>3.6499999999999998E-2</c:v>
                </c:pt>
                <c:pt idx="3">
                  <c:v>2.8216874999999995E-2</c:v>
                </c:pt>
                <c:pt idx="4">
                  <c:v>0</c:v>
                </c:pt>
              </c:numCache>
            </c:numRef>
          </c:val>
          <c:extLst>
            <c:ext xmlns:c16="http://schemas.microsoft.com/office/drawing/2014/chart" uri="{C3380CC4-5D6E-409C-BE32-E72D297353CC}">
              <c16:uniqueId val="{00000001-D1D0-449B-8B59-EDB1B7B4608A}"/>
            </c:ext>
          </c:extLst>
        </c:ser>
        <c:dLbls>
          <c:showLegendKey val="0"/>
          <c:showVal val="0"/>
          <c:showCatName val="0"/>
          <c:showSerName val="0"/>
          <c:showPercent val="0"/>
          <c:showBubbleSize val="0"/>
        </c:dLbls>
        <c:gapWidth val="219"/>
        <c:overlap val="-27"/>
        <c:axId val="552258976"/>
        <c:axId val="552254712"/>
      </c:barChart>
      <c:catAx>
        <c:axId val="55225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4712"/>
        <c:crosses val="autoZero"/>
        <c:auto val="1"/>
        <c:lblAlgn val="ctr"/>
        <c:lblOffset val="100"/>
        <c:noMultiLvlLbl val="0"/>
      </c:catAx>
      <c:valAx>
        <c:axId val="552254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552258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Elasticity of Participation 
(i.e. quitting)*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Tax Scenario'!$A$15</c:f>
              <c:strCache>
                <c:ptCount val="1"/>
                <c:pt idx="0">
                  <c:v>Elasticity of Participation 
(i.e. quitting)*</c:v>
                </c:pt>
              </c:strCache>
            </c:strRef>
          </c:tx>
          <c:spPr>
            <a:solidFill>
              <a:schemeClr val="accent1"/>
            </a:solidFill>
            <a:ln>
              <a:noFill/>
            </a:ln>
            <a:effectLst/>
          </c:spPr>
          <c:invertIfNegative val="0"/>
          <c:cat>
            <c:strRef>
              <c:f>'5. Tax Scenario'!$B$13:$F$13</c:f>
              <c:strCache>
                <c:ptCount val="5"/>
                <c:pt idx="0">
                  <c:v>Income Group 1 (poorest)</c:v>
                </c:pt>
                <c:pt idx="1">
                  <c:v>Income Group 2</c:v>
                </c:pt>
                <c:pt idx="2">
                  <c:v>Income Group 3</c:v>
                </c:pt>
                <c:pt idx="3">
                  <c:v>Income Group 4</c:v>
                </c:pt>
                <c:pt idx="4">
                  <c:v>Income Group 5 (richest)</c:v>
                </c:pt>
              </c:strCache>
            </c:strRef>
          </c:cat>
          <c:val>
            <c:numRef>
              <c:f>'5. Tax Scenario'!$B$15:$F$15</c:f>
              <c:numCache>
                <c:formatCode>General</c:formatCode>
                <c:ptCount val="5"/>
                <c:pt idx="0">
                  <c:v>-0.16</c:v>
                </c:pt>
              </c:numCache>
            </c:numRef>
          </c:val>
          <c:extLst>
            <c:ext xmlns:c16="http://schemas.microsoft.com/office/drawing/2014/chart" uri="{C3380CC4-5D6E-409C-BE32-E72D297353CC}">
              <c16:uniqueId val="{00000000-611E-4A6D-995D-5E2DE739D1C5}"/>
            </c:ext>
          </c:extLst>
        </c:ser>
        <c:dLbls>
          <c:showLegendKey val="0"/>
          <c:showVal val="0"/>
          <c:showCatName val="0"/>
          <c:showSerName val="0"/>
          <c:showPercent val="0"/>
          <c:showBubbleSize val="0"/>
        </c:dLbls>
        <c:gapWidth val="219"/>
        <c:overlap val="-27"/>
        <c:axId val="510484984"/>
        <c:axId val="510485312"/>
      </c:barChart>
      <c:catAx>
        <c:axId val="51048498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10485312"/>
        <c:crosses val="autoZero"/>
        <c:auto val="1"/>
        <c:lblAlgn val="ctr"/>
        <c:lblOffset val="100"/>
        <c:noMultiLvlLbl val="0"/>
      </c:catAx>
      <c:valAx>
        <c:axId val="510485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10484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Post-Tax</a:t>
            </a:r>
            <a:r>
              <a:rPr lang="en-GB" b="1" baseline="0"/>
              <a:t> </a:t>
            </a:r>
            <a:r>
              <a:rPr lang="en-GB" b="1"/>
              <a:t>Prevalence of Catastrophic Health Expenditure for</a:t>
            </a:r>
            <a:r>
              <a:rPr lang="en-GB" b="1" baseline="0"/>
              <a:t> All Smoking-Related Illness</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 2. Baseline CHE Smokers'!$B$5:$F$5</c:f>
              <c:strCache>
                <c:ptCount val="5"/>
                <c:pt idx="0">
                  <c:v>Income Group 1 (poorest)</c:v>
                </c:pt>
                <c:pt idx="1">
                  <c:v>Income Group 2</c:v>
                </c:pt>
                <c:pt idx="2">
                  <c:v>Income Group 3</c:v>
                </c:pt>
                <c:pt idx="3">
                  <c:v>Income Group 4</c:v>
                </c:pt>
                <c:pt idx="4">
                  <c:v>Income Group 5 (richest)</c:v>
                </c:pt>
              </c:strCache>
            </c:strRef>
          </c:cat>
          <c:val>
            <c:numRef>
              <c:f>'6. Tax CHE'!$B$47:$F$47</c:f>
              <c:numCache>
                <c:formatCode>0.00%</c:formatCode>
                <c:ptCount val="5"/>
                <c:pt idx="0">
                  <c:v>4.8944000000000015E-2</c:v>
                </c:pt>
                <c:pt idx="1">
                  <c:v>0</c:v>
                </c:pt>
                <c:pt idx="2">
                  <c:v>0</c:v>
                </c:pt>
                <c:pt idx="3">
                  <c:v>0</c:v>
                </c:pt>
                <c:pt idx="4">
                  <c:v>0</c:v>
                </c:pt>
              </c:numCache>
            </c:numRef>
          </c:val>
          <c:extLst>
            <c:ext xmlns:c16="http://schemas.microsoft.com/office/drawing/2014/chart" uri="{C3380CC4-5D6E-409C-BE32-E72D297353CC}">
              <c16:uniqueId val="{00000000-7147-4F14-B894-C958822F2030}"/>
            </c:ext>
          </c:extLst>
        </c:ser>
        <c:dLbls>
          <c:showLegendKey val="0"/>
          <c:showVal val="0"/>
          <c:showCatName val="0"/>
          <c:showSerName val="0"/>
          <c:showPercent val="0"/>
          <c:showBubbleSize val="0"/>
        </c:dLbls>
        <c:gapWidth val="219"/>
        <c:overlap val="-27"/>
        <c:axId val="552258976"/>
        <c:axId val="552254712"/>
      </c:barChart>
      <c:catAx>
        <c:axId val="55225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4712"/>
        <c:crosses val="autoZero"/>
        <c:auto val="1"/>
        <c:lblAlgn val="ctr"/>
        <c:lblOffset val="100"/>
        <c:noMultiLvlLbl val="0"/>
      </c:catAx>
      <c:valAx>
        <c:axId val="552254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52258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Incremental Change in CHE with tax</a:t>
            </a:r>
            <a:r>
              <a:rPr lang="en-US" b="1" baseline="0"/>
              <a:t> policy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Results'!$A$24</c:f>
              <c:strCache>
                <c:ptCount val="1"/>
                <c:pt idx="0">
                  <c:v>Incremental Change in CHE</c:v>
                </c:pt>
              </c:strCache>
            </c:strRef>
          </c:tx>
          <c:spPr>
            <a:solidFill>
              <a:schemeClr val="accent1"/>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Results'!$B$24:$G$24</c:f>
              <c:numCache>
                <c:formatCode>0.00%</c:formatCode>
                <c:ptCount val="6"/>
              </c:numCache>
            </c:numRef>
          </c:val>
          <c:extLst>
            <c:ext xmlns:c16="http://schemas.microsoft.com/office/drawing/2014/chart" uri="{C3380CC4-5D6E-409C-BE32-E72D297353CC}">
              <c16:uniqueId val="{00000000-DF69-4097-8710-9DF0F1BF18AD}"/>
            </c:ext>
          </c:extLst>
        </c:ser>
        <c:dLbls>
          <c:showLegendKey val="0"/>
          <c:showVal val="0"/>
          <c:showCatName val="0"/>
          <c:showSerName val="0"/>
          <c:showPercent val="0"/>
          <c:showBubbleSize val="0"/>
        </c:dLbls>
        <c:gapWidth val="219"/>
        <c:overlap val="-27"/>
        <c:axId val="451758104"/>
        <c:axId val="451761056"/>
      </c:barChart>
      <c:catAx>
        <c:axId val="45175810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51761056"/>
        <c:crosses val="autoZero"/>
        <c:auto val="1"/>
        <c:lblAlgn val="ctr"/>
        <c:lblOffset val="100"/>
        <c:noMultiLvlLbl val="0"/>
      </c:catAx>
      <c:valAx>
        <c:axId val="451761056"/>
        <c:scaling>
          <c:orientation val="minMax"/>
          <c:min val="-1.4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Incremental Change in CHE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51758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Cases Averted</a:t>
            </a:r>
            <a:r>
              <a:rPr lang="en-GB" sz="1600" b="1" baseline="0"/>
              <a:t> from 50% Tobacco Tax by Illness</a:t>
            </a:r>
            <a:endParaRPr lang="en-GB"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 Results'!$A$12</c:f>
              <c:strCache>
                <c:ptCount val="1"/>
                <c:pt idx="0">
                  <c:v>   COPD</c:v>
                </c:pt>
              </c:strCache>
            </c:strRef>
          </c:tx>
          <c:spPr>
            <a:solidFill>
              <a:schemeClr val="accent1"/>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Results'!$B$12:$G$12</c:f>
              <c:numCache>
                <c:formatCode>#,##0</c:formatCode>
                <c:ptCount val="6"/>
                <c:pt idx="0">
                  <c:v>235.14399999999932</c:v>
                </c:pt>
              </c:numCache>
            </c:numRef>
          </c:val>
          <c:extLst>
            <c:ext xmlns:c16="http://schemas.microsoft.com/office/drawing/2014/chart" uri="{C3380CC4-5D6E-409C-BE32-E72D297353CC}">
              <c16:uniqueId val="{00000000-5F1C-44EB-BF0A-985F6117BCFE}"/>
            </c:ext>
          </c:extLst>
        </c:ser>
        <c:ser>
          <c:idx val="1"/>
          <c:order val="1"/>
          <c:tx>
            <c:strRef>
              <c:f>'8. Results'!$A$13</c:f>
              <c:strCache>
                <c:ptCount val="1"/>
                <c:pt idx="0">
                  <c:v>   Lung Cancer</c:v>
                </c:pt>
              </c:strCache>
            </c:strRef>
          </c:tx>
          <c:spPr>
            <a:solidFill>
              <a:schemeClr val="accent2"/>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Results'!$B$13:$G$13</c:f>
              <c:numCache>
                <c:formatCode>#,##0</c:formatCode>
                <c:ptCount val="6"/>
                <c:pt idx="0">
                  <c:v>488.3760000000002</c:v>
                </c:pt>
                <c:pt idx="1">
                  <c:v>6104.7000000000016</c:v>
                </c:pt>
                <c:pt idx="2">
                  <c:v>6196.5000000000018</c:v>
                </c:pt>
                <c:pt idx="3">
                  <c:v>5794.8750000000009</c:v>
                </c:pt>
                <c:pt idx="4">
                  <c:v>5452.920000000001</c:v>
                </c:pt>
                <c:pt idx="5">
                  <c:v>24037.371000000006</c:v>
                </c:pt>
              </c:numCache>
            </c:numRef>
          </c:val>
          <c:extLst>
            <c:ext xmlns:c16="http://schemas.microsoft.com/office/drawing/2014/chart" uri="{C3380CC4-5D6E-409C-BE32-E72D297353CC}">
              <c16:uniqueId val="{00000001-5F1C-44EB-BF0A-985F6117BCFE}"/>
            </c:ext>
          </c:extLst>
        </c:ser>
        <c:ser>
          <c:idx val="2"/>
          <c:order val="2"/>
          <c:tx>
            <c:strRef>
              <c:f>'8. Results'!$A$14</c:f>
              <c:strCache>
                <c:ptCount val="1"/>
                <c:pt idx="0">
                  <c:v>   Stroke</c:v>
                </c:pt>
              </c:strCache>
            </c:strRef>
          </c:tx>
          <c:spPr>
            <a:solidFill>
              <a:schemeClr val="accent3"/>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Results'!$B$14:$G$14</c:f>
              <c:numCache>
                <c:formatCode>#,##0</c:formatCode>
                <c:ptCount val="6"/>
                <c:pt idx="0">
                  <c:v>687.34400000000005</c:v>
                </c:pt>
                <c:pt idx="1">
                  <c:v>8591.8000000000011</c:v>
                </c:pt>
                <c:pt idx="2">
                  <c:v>8721.0000000000018</c:v>
                </c:pt>
                <c:pt idx="3">
                  <c:v>8155.75</c:v>
                </c:pt>
                <c:pt idx="4">
                  <c:v>7674.4800000000005</c:v>
                </c:pt>
                <c:pt idx="5">
                  <c:v>33830.374000000003</c:v>
                </c:pt>
              </c:numCache>
            </c:numRef>
          </c:val>
          <c:extLst>
            <c:ext xmlns:c16="http://schemas.microsoft.com/office/drawing/2014/chart" uri="{C3380CC4-5D6E-409C-BE32-E72D297353CC}">
              <c16:uniqueId val="{00000002-5F1C-44EB-BF0A-985F6117BCFE}"/>
            </c:ext>
          </c:extLst>
        </c:ser>
        <c:ser>
          <c:idx val="3"/>
          <c:order val="3"/>
          <c:tx>
            <c:strRef>
              <c:f>'8. Results'!$A$15</c:f>
              <c:strCache>
                <c:ptCount val="1"/>
                <c:pt idx="0">
                  <c:v>   IHD</c:v>
                </c:pt>
              </c:strCache>
            </c:strRef>
          </c:tx>
          <c:spPr>
            <a:solidFill>
              <a:schemeClr val="accent4"/>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Results'!$B$15:$G$15</c:f>
              <c:numCache>
                <c:formatCode>#,##0</c:formatCode>
                <c:ptCount val="6"/>
                <c:pt idx="0">
                  <c:v>1989.6800000000039</c:v>
                </c:pt>
                <c:pt idx="1">
                  <c:v>24871.000000000007</c:v>
                </c:pt>
                <c:pt idx="2">
                  <c:v>25245.000000000007</c:v>
                </c:pt>
                <c:pt idx="3">
                  <c:v>23608.750000000004</c:v>
                </c:pt>
                <c:pt idx="4">
                  <c:v>22215.600000000006</c:v>
                </c:pt>
                <c:pt idx="5">
                  <c:v>97930.030000000028</c:v>
                </c:pt>
              </c:numCache>
            </c:numRef>
          </c:val>
          <c:extLst>
            <c:ext xmlns:c16="http://schemas.microsoft.com/office/drawing/2014/chart" uri="{C3380CC4-5D6E-409C-BE32-E72D297353CC}">
              <c16:uniqueId val="{00000003-5F1C-44EB-BF0A-985F6117BCFE}"/>
            </c:ext>
          </c:extLst>
        </c:ser>
        <c:ser>
          <c:idx val="4"/>
          <c:order val="4"/>
          <c:tx>
            <c:strRef>
              <c:f>'8. Results'!$A$16</c:f>
              <c:strCache>
                <c:ptCount val="1"/>
                <c:pt idx="0">
                  <c:v>   Hypertensive HD</c:v>
                </c:pt>
              </c:strCache>
            </c:strRef>
          </c:tx>
          <c:spPr>
            <a:solidFill>
              <a:schemeClr val="accent5"/>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Results'!$B$16:$G$16</c:f>
              <c:numCache>
                <c:formatCode>#,##0</c:formatCode>
                <c:ptCount val="6"/>
                <c:pt idx="0">
                  <c:v>108.52800000000025</c:v>
                </c:pt>
                <c:pt idx="1">
                  <c:v>1356.6000000000004</c:v>
                </c:pt>
                <c:pt idx="2">
                  <c:v>1377.0000000000002</c:v>
                </c:pt>
                <c:pt idx="3">
                  <c:v>1287.75</c:v>
                </c:pt>
                <c:pt idx="4">
                  <c:v>1211.76</c:v>
                </c:pt>
                <c:pt idx="5">
                  <c:v>5341.6380000000008</c:v>
                </c:pt>
              </c:numCache>
            </c:numRef>
          </c:val>
          <c:extLst>
            <c:ext xmlns:c16="http://schemas.microsoft.com/office/drawing/2014/chart" uri="{C3380CC4-5D6E-409C-BE32-E72D297353CC}">
              <c16:uniqueId val="{00000004-5F1C-44EB-BF0A-985F6117BCFE}"/>
            </c:ext>
          </c:extLst>
        </c:ser>
        <c:ser>
          <c:idx val="5"/>
          <c:order val="5"/>
          <c:tx>
            <c:strRef>
              <c:f>'8. Results'!$A$17</c:f>
              <c:strCache>
                <c:ptCount val="1"/>
                <c:pt idx="0">
                  <c:v>   Bladder Cancer</c:v>
                </c:pt>
              </c:strCache>
            </c:strRef>
          </c:tx>
          <c:spPr>
            <a:solidFill>
              <a:schemeClr val="accent6"/>
            </a:solidFill>
            <a:ln>
              <a:noFill/>
            </a:ln>
            <a:effectLst/>
          </c:spPr>
          <c:invertIfNegative val="0"/>
          <c:cat>
            <c:strRef>
              <c:f>'8. Results'!$B$8:$G$8</c:f>
              <c:strCache>
                <c:ptCount val="6"/>
                <c:pt idx="0">
                  <c:v>Quintile 1 
(poorest)</c:v>
                </c:pt>
                <c:pt idx="1">
                  <c:v>Quintile 2</c:v>
                </c:pt>
                <c:pt idx="2">
                  <c:v>Quintile 3</c:v>
                </c:pt>
                <c:pt idx="3">
                  <c:v>Quintile 4</c:v>
                </c:pt>
                <c:pt idx="4">
                  <c:v>Quintile 5
(richest)</c:v>
                </c:pt>
                <c:pt idx="5">
                  <c:v>Total</c:v>
                </c:pt>
              </c:strCache>
            </c:strRef>
          </c:cat>
          <c:val>
            <c:numRef>
              <c:f>'8. Results'!$B$17:$G$17</c:f>
              <c:numCache>
                <c:formatCode>#,##0</c:formatCode>
                <c:ptCount val="6"/>
                <c:pt idx="0">
                  <c:v>108.52800000000025</c:v>
                </c:pt>
                <c:pt idx="1">
                  <c:v>1356.6000000000004</c:v>
                </c:pt>
                <c:pt idx="2">
                  <c:v>1377.0000000000002</c:v>
                </c:pt>
                <c:pt idx="3">
                  <c:v>1287.75</c:v>
                </c:pt>
                <c:pt idx="4">
                  <c:v>1211.76</c:v>
                </c:pt>
                <c:pt idx="5">
                  <c:v>5341.6380000000008</c:v>
                </c:pt>
              </c:numCache>
            </c:numRef>
          </c:val>
          <c:extLst>
            <c:ext xmlns:c16="http://schemas.microsoft.com/office/drawing/2014/chart" uri="{C3380CC4-5D6E-409C-BE32-E72D297353CC}">
              <c16:uniqueId val="{00000005-5F1C-44EB-BF0A-985F6117BCFE}"/>
            </c:ext>
          </c:extLst>
        </c:ser>
        <c:dLbls>
          <c:showLegendKey val="0"/>
          <c:showVal val="0"/>
          <c:showCatName val="0"/>
          <c:showSerName val="0"/>
          <c:showPercent val="0"/>
          <c:showBubbleSize val="0"/>
        </c:dLbls>
        <c:gapWidth val="150"/>
        <c:overlap val="100"/>
        <c:axId val="423889064"/>
        <c:axId val="423889392"/>
      </c:barChart>
      <c:catAx>
        <c:axId val="423889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3889392"/>
        <c:crosses val="autoZero"/>
        <c:auto val="1"/>
        <c:lblAlgn val="ctr"/>
        <c:lblOffset val="100"/>
        <c:noMultiLvlLbl val="0"/>
      </c:catAx>
      <c:valAx>
        <c:axId val="423889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b="1"/>
                  <a:t>Cases averted</a:t>
                </a:r>
                <a:r>
                  <a:rPr lang="en-GB" sz="1400" b="1" baseline="0"/>
                  <a:t> </a:t>
                </a:r>
                <a:endParaRPr lang="en-GB" sz="1400" b="1"/>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3889064"/>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47621</xdr:rowOff>
    </xdr:from>
    <xdr:to>
      <xdr:col>9</xdr:col>
      <xdr:colOff>323850</xdr:colOff>
      <xdr:row>20</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238121"/>
          <a:ext cx="5715000" cy="3752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Arial" panose="020B0604020202020204" pitchFamily="34" charset="0"/>
              <a:ea typeface="+mn-ea"/>
              <a:cs typeface="Arial" panose="020B0604020202020204" pitchFamily="34" charset="0"/>
            </a:rPr>
            <a:t>Exercise</a:t>
          </a:r>
          <a:r>
            <a:rPr lang="en-GB" sz="1400" b="1" baseline="0">
              <a:solidFill>
                <a:schemeClr val="dk1"/>
              </a:solidFill>
              <a:effectLst/>
              <a:latin typeface="Arial" panose="020B0604020202020204" pitchFamily="34" charset="0"/>
              <a:ea typeface="+mn-ea"/>
              <a:cs typeface="Arial" panose="020B0604020202020204" pitchFamily="34" charset="0"/>
            </a:rPr>
            <a:t> 10: Financial Protection</a:t>
          </a:r>
          <a:endParaRPr lang="en-GB" sz="1400" b="1">
            <a:solidFill>
              <a:schemeClr val="dk1"/>
            </a:solidFill>
            <a:effectLst/>
            <a:latin typeface="Arial" panose="020B0604020202020204" pitchFamily="34" charset="0"/>
            <a:ea typeface="+mn-ea"/>
            <a:cs typeface="Arial" panose="020B0604020202020204" pitchFamily="34" charset="0"/>
          </a:endParaRPr>
        </a:p>
        <a:p>
          <a:endParaRPr lang="en-GB" sz="12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This training exercise accompanies Chapter 10 of the Oxford University Press Handbook of Distributional Cost-Effectiveness Analysis.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Further exercises in this series are available here https://www.york.ac.uk/che/research/equity/handbook/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Step-by-step instructions are contained at the top of each worksheet.  There are 9 further worksheets after this title sheet, starting with "Overview" and ending with "Results".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Your task is to complete the exercise cells highlighted in yellow (starting in the "Baseline CHE Smokers" 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This exercise was developed by Andrew Mirelman and Richard Cookson with advisory input from Stéphane Verguet.</a:t>
          </a:r>
        </a:p>
        <a:p>
          <a:endParaRPr lang="en-GB"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10</xdr:col>
      <xdr:colOff>9525</xdr:colOff>
      <xdr:row>1</xdr:row>
      <xdr:rowOff>9520</xdr:rowOff>
    </xdr:from>
    <xdr:to>
      <xdr:col>19</xdr:col>
      <xdr:colOff>238125</xdr:colOff>
      <xdr:row>21</xdr:row>
      <xdr:rowOff>152400</xdr:rowOff>
    </xdr:to>
    <xdr:sp macro="" textlink="">
      <xdr:nvSpPr>
        <xdr:cNvPr id="4" name="TextBox 3">
          <a:extLst>
            <a:ext uri="{FF2B5EF4-FFF2-40B4-BE49-F238E27FC236}">
              <a16:creationId xmlns:a16="http://schemas.microsoft.com/office/drawing/2014/main" id="{9869636E-5BB3-4A59-957E-6AB5D440EFC6}"/>
            </a:ext>
          </a:extLst>
        </xdr:cNvPr>
        <xdr:cNvSpPr txBox="1"/>
      </xdr:nvSpPr>
      <xdr:spPr>
        <a:xfrm>
          <a:off x="6105525" y="200020"/>
          <a:ext cx="5715000" cy="395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Introduction</a:t>
          </a:r>
        </a:p>
        <a:p>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exercise shows you how to simulate a distribution of financial risk protection benefits by income group, using the example of a proposed tobacco tax in Lebanon. This exercise focuses on financial protection from risk of out-of-pocket expenditure on health care for smoking-related illness, drawing on a published extended cost-effectiveness analysis which also examined health effects and tobacco consumption costs (Salti, Brouwer, and Verguet 2016).</a:t>
          </a:r>
          <a:r>
            <a:rPr lang="en-GB" sz="1400"/>
            <a:t> </a:t>
          </a:r>
        </a:p>
        <a:p>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The exercise compares a proposed 50% increase in the retail price of cigarettes against the baseline of no price increase.  It focuses on a simple measure of financial risk protection - the prevalence of catastrophic health expenditure (CHE) on smoking-related illness, where out-of-pocket health expenditure is deemed "catastrophic" if it exceeds 10% of non-food household income.</a:t>
          </a:r>
          <a:r>
            <a:rPr lang="en-GB" sz="1400"/>
            <a:t>   It</a:t>
          </a:r>
          <a:r>
            <a:rPr lang="en-GB" sz="1400" baseline="0"/>
            <a:t> also simplifies by assuming that opportunity costs can be adequately represented by the taxes paid by different groups.</a:t>
          </a:r>
          <a:endParaRPr lang="en-GB" sz="1400"/>
        </a:p>
        <a:p>
          <a:endParaRPr lang="en-GB"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600074</xdr:colOff>
      <xdr:row>28</xdr:row>
      <xdr:rowOff>142875</xdr:rowOff>
    </xdr:to>
    <xdr:sp macro="" textlink="">
      <xdr:nvSpPr>
        <xdr:cNvPr id="2" name="TextBox 1">
          <a:extLst>
            <a:ext uri="{FF2B5EF4-FFF2-40B4-BE49-F238E27FC236}">
              <a16:creationId xmlns:a16="http://schemas.microsoft.com/office/drawing/2014/main" id="{C9BD05BE-D677-4EE8-86EB-DA24ECDE9E1B}"/>
            </a:ext>
          </a:extLst>
        </xdr:cNvPr>
        <xdr:cNvSpPr txBox="1"/>
      </xdr:nvSpPr>
      <xdr:spPr>
        <a:xfrm>
          <a:off x="0" y="1"/>
          <a:ext cx="7915274" cy="5476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chemeClr val="dk1"/>
              </a:solidFill>
              <a:effectLst/>
              <a:latin typeface="Arial" panose="020B0604020202020204" pitchFamily="34" charset="0"/>
              <a:ea typeface="+mn-ea"/>
              <a:cs typeface="Arial" panose="020B0604020202020204" pitchFamily="34" charset="0"/>
            </a:rPr>
            <a:t>Overview of the exercise</a:t>
          </a:r>
        </a:p>
        <a:p>
          <a:endParaRPr lang="en-GB" sz="1200" b="1" baseline="0">
            <a:solidFill>
              <a:schemeClr val="dk1"/>
            </a:solidFill>
            <a:effectLst/>
            <a:latin typeface="Arial" panose="020B0604020202020204" pitchFamily="34" charset="0"/>
            <a:ea typeface="+mn-ea"/>
            <a:cs typeface="Arial" panose="020B0604020202020204" pitchFamily="34" charset="0"/>
          </a:endParaRPr>
        </a:p>
        <a:p>
          <a:r>
            <a:rPr lang="en-GB" sz="1200" b="0" baseline="0">
              <a:solidFill>
                <a:schemeClr val="dk1"/>
              </a:solidFill>
              <a:effectLst/>
              <a:latin typeface="Arial" panose="020B0604020202020204" pitchFamily="34" charset="0"/>
              <a:ea typeface="+mn-ea"/>
              <a:cs typeface="Arial" panose="020B0604020202020204" pitchFamily="34" charset="0"/>
            </a:rPr>
            <a:t>Step-by-step instructions are at the top of each sheet.  An overview is as follows:</a:t>
          </a:r>
          <a:endParaRPr lang="en-GB" sz="1200" b="0">
            <a:solidFill>
              <a:schemeClr val="dk1"/>
            </a:solidFill>
            <a:effectLst/>
            <a:latin typeface="Arial" panose="020B0604020202020204" pitchFamily="34" charset="0"/>
            <a:ea typeface="+mn-ea"/>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1. </a:t>
          </a:r>
          <a:r>
            <a:rPr lang="en-GB" sz="1200" i="1" baseline="0">
              <a:latin typeface="Arial" panose="020B0604020202020204" pitchFamily="34" charset="0"/>
              <a:cs typeface="Arial" panose="020B0604020202020204" pitchFamily="34" charset="0"/>
            </a:rPr>
            <a:t>Baseline</a:t>
          </a:r>
          <a:r>
            <a:rPr lang="en-GB" sz="1200" i="0" baseline="0">
              <a:latin typeface="Arial" panose="020B0604020202020204" pitchFamily="34" charset="0"/>
              <a:cs typeface="Arial" panose="020B0604020202020204" pitchFamily="34" charset="0"/>
            </a:rPr>
            <a:t> </a:t>
          </a:r>
          <a:r>
            <a:rPr lang="en-GB" sz="1200" i="1" baseline="0">
              <a:latin typeface="Arial" panose="020B0604020202020204" pitchFamily="34" charset="0"/>
              <a:cs typeface="Arial" panose="020B0604020202020204" pitchFamily="34" charset="0"/>
            </a:rPr>
            <a:t>Inputs: </a:t>
          </a:r>
          <a:r>
            <a:rPr lang="en-GB" sz="1200" i="0" baseline="0">
              <a:latin typeface="Arial" panose="020B0604020202020204" pitchFamily="34" charset="0"/>
              <a:cs typeface="Arial" panose="020B0604020202020204" pitchFamily="34" charset="0"/>
            </a:rPr>
            <a:t>In this sheet, you will familiarise yourself with the input data by creating some simple descriptive graphs. You can also alter the threshold for the catastrophic expenditure (default at 10%) in cell B22.</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2. </a:t>
          </a:r>
          <a:r>
            <a:rPr lang="en-GB" sz="1200" i="1" baseline="0">
              <a:latin typeface="Arial" panose="020B0604020202020204" pitchFamily="34" charset="0"/>
              <a:cs typeface="Arial" panose="020B0604020202020204" pitchFamily="34" charset="0"/>
            </a:rPr>
            <a:t>Baseline CHE Smokers:</a:t>
          </a:r>
          <a:r>
            <a:rPr lang="en-GB" sz="1200" i="0" baseline="0">
              <a:latin typeface="Arial" panose="020B0604020202020204" pitchFamily="34" charset="0"/>
              <a:cs typeface="Arial" panose="020B0604020202020204" pitchFamily="34" charset="0"/>
            </a:rPr>
            <a:t> Here you will</a:t>
          </a:r>
          <a:r>
            <a:rPr lang="en-GB" sz="1200" i="0" baseline="0">
              <a:solidFill>
                <a:schemeClr val="dk1"/>
              </a:solidFill>
              <a:effectLst/>
              <a:latin typeface="Arial" panose="020B0604020202020204" pitchFamily="34" charset="0"/>
              <a:ea typeface="+mn-ea"/>
              <a:cs typeface="Arial" panose="020B0604020202020204" pitchFamily="34" charset="0"/>
            </a:rPr>
            <a:t> calculate the baseline levels of CHE on smoking-related illness by income group for one of the smoking-related illnesses (COPD), and then sum them up to get the overall level.</a:t>
          </a:r>
        </a:p>
        <a:p>
          <a:endParaRPr lang="en-GB" sz="1200" i="0" baseline="0">
            <a:solidFill>
              <a:schemeClr val="dk1"/>
            </a:solidFill>
            <a:effectLst/>
            <a:latin typeface="Arial" panose="020B0604020202020204" pitchFamily="34" charset="0"/>
            <a:ea typeface="+mn-ea"/>
            <a:cs typeface="Arial" panose="020B0604020202020204" pitchFamily="34" charset="0"/>
          </a:endParaRPr>
        </a:p>
        <a:p>
          <a:r>
            <a:rPr lang="en-GB" sz="1200" i="1" baseline="0">
              <a:solidFill>
                <a:schemeClr val="dk1"/>
              </a:solidFill>
              <a:effectLst/>
              <a:latin typeface="Arial" panose="020B0604020202020204" pitchFamily="34" charset="0"/>
              <a:ea typeface="+mn-ea"/>
              <a:cs typeface="Arial" panose="020B0604020202020204" pitchFamily="34" charset="0"/>
            </a:rPr>
            <a:t>3. Baseline CHE Non-Smokers:  </a:t>
          </a:r>
          <a:r>
            <a:rPr lang="en-GB" sz="1200" i="0" baseline="0">
              <a:solidFill>
                <a:schemeClr val="dk1"/>
              </a:solidFill>
              <a:effectLst/>
              <a:latin typeface="Arial" panose="020B0604020202020204" pitchFamily="34" charset="0"/>
              <a:ea typeface="+mn-ea"/>
              <a:cs typeface="Arial" panose="020B0604020202020204" pitchFamily="34" charset="0"/>
            </a:rPr>
            <a:t>This shows the same calculations for non-smokers, who are at lower but non-zero risk of CHE on smoking-related illnesses.</a:t>
          </a:r>
        </a:p>
        <a:p>
          <a:endParaRPr lang="en-GB" sz="1200" i="0" baseline="0">
            <a:solidFill>
              <a:schemeClr val="dk1"/>
            </a:solidFill>
            <a:effectLst/>
            <a:latin typeface="Arial" panose="020B0604020202020204" pitchFamily="34" charset="0"/>
            <a:ea typeface="+mn-ea"/>
            <a:cs typeface="Arial" panose="020B0604020202020204" pitchFamily="34" charset="0"/>
          </a:endParaRPr>
        </a:p>
        <a:p>
          <a:r>
            <a:rPr lang="en-GB" sz="1200" i="0" baseline="0">
              <a:solidFill>
                <a:schemeClr val="dk1"/>
              </a:solidFill>
              <a:effectLst/>
              <a:latin typeface="Arial" panose="020B0604020202020204" pitchFamily="34" charset="0"/>
              <a:ea typeface="+mn-ea"/>
              <a:cs typeface="Arial" panose="020B0604020202020204" pitchFamily="34" charset="0"/>
            </a:rPr>
            <a:t>4. </a:t>
          </a:r>
          <a:r>
            <a:rPr lang="en-GB" sz="1200" i="1" baseline="0">
              <a:solidFill>
                <a:schemeClr val="dk1"/>
              </a:solidFill>
              <a:effectLst/>
              <a:latin typeface="Arial" panose="020B0604020202020204" pitchFamily="34" charset="0"/>
              <a:ea typeface="+mn-ea"/>
              <a:cs typeface="Arial" panose="020B0604020202020204" pitchFamily="34" charset="0"/>
            </a:rPr>
            <a:t>Baseline CHE Figure: </a:t>
          </a:r>
          <a:r>
            <a:rPr lang="en-GB" sz="1200" i="0" baseline="0">
              <a:solidFill>
                <a:schemeClr val="dk1"/>
              </a:solidFill>
              <a:effectLst/>
              <a:latin typeface="Arial" panose="020B0604020202020204" pitchFamily="34" charset="0"/>
              <a:ea typeface="+mn-ea"/>
              <a:cs typeface="Arial" panose="020B0604020202020204" pitchFamily="34" charset="0"/>
            </a:rPr>
            <a:t>This figure shows the overall prevalence of CHE on smoking-related illnesses by income group.</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5. </a:t>
          </a:r>
          <a:r>
            <a:rPr lang="en-GB" sz="1200" i="1" baseline="0">
              <a:latin typeface="Arial" panose="020B0604020202020204" pitchFamily="34" charset="0"/>
              <a:cs typeface="Arial" panose="020B0604020202020204" pitchFamily="34" charset="0"/>
            </a:rPr>
            <a:t>Tax Scenario: </a:t>
          </a:r>
          <a:r>
            <a:rPr lang="en-GB" sz="1200" i="0" baseline="0">
              <a:latin typeface="Arial" panose="020B0604020202020204" pitchFamily="34" charset="0"/>
              <a:cs typeface="Arial" panose="020B0604020202020204" pitchFamily="34" charset="0"/>
            </a:rPr>
            <a:t>This sheet shows how the tax policy delivers differential reductions in smoking prevalence by income group via differential price elasticities of demand for tobacco.</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6. </a:t>
          </a:r>
          <a:r>
            <a:rPr lang="en-GB" sz="1200" i="1" baseline="0">
              <a:latin typeface="Arial" panose="020B0604020202020204" pitchFamily="34" charset="0"/>
              <a:cs typeface="Arial" panose="020B0604020202020204" pitchFamily="34" charset="0"/>
            </a:rPr>
            <a:t>Tax CHE: </a:t>
          </a:r>
          <a:r>
            <a:rPr lang="en-GB" sz="1200" i="0" baseline="0">
              <a:latin typeface="Arial" panose="020B0604020202020204" pitchFamily="34" charset="0"/>
              <a:cs typeface="Arial" panose="020B0604020202020204" pitchFamily="34" charset="0"/>
            </a:rPr>
            <a:t>This sheet calculates the post-tax prevalence of CHE on smoking-related illness, by repeating the Baseline CHE calculation using the new inputs for smoking prevalence from the Tax Scenario.</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7. </a:t>
          </a:r>
          <a:r>
            <a:rPr lang="en-GB" sz="1200" i="1" baseline="0">
              <a:solidFill>
                <a:schemeClr val="dk1"/>
              </a:solidFill>
              <a:effectLst/>
              <a:latin typeface="Arial" panose="020B0604020202020204" pitchFamily="34" charset="0"/>
              <a:ea typeface="+mn-ea"/>
              <a:cs typeface="Arial" panose="020B0604020202020204" pitchFamily="34" charset="0"/>
            </a:rPr>
            <a:t>Tax CHE Figure:</a:t>
          </a:r>
          <a:r>
            <a:rPr lang="en-GB" sz="1200" i="0" baseline="0">
              <a:solidFill>
                <a:schemeClr val="dk1"/>
              </a:solidFill>
              <a:effectLst/>
              <a:latin typeface="Arial" panose="020B0604020202020204" pitchFamily="34" charset="0"/>
              <a:ea typeface="+mn-ea"/>
              <a:cs typeface="Arial" panose="020B0604020202020204" pitchFamily="34" charset="0"/>
            </a:rPr>
            <a:t> This figure shows the overall prevalence of CHE for smoking-related illnesses once the tax has been implemented.</a:t>
          </a:r>
          <a:r>
            <a:rPr lang="en-GB" sz="1200" i="1" baseline="0">
              <a:solidFill>
                <a:schemeClr val="dk1"/>
              </a:solidFill>
              <a:effectLst/>
              <a:latin typeface="Arial" panose="020B0604020202020204" pitchFamily="34" charset="0"/>
              <a:ea typeface="+mn-ea"/>
              <a:cs typeface="Arial" panose="020B0604020202020204" pitchFamily="34" charset="0"/>
            </a:rPr>
            <a:t> </a:t>
          </a:r>
          <a:endParaRPr lang="en-GB" sz="1200" i="1" baseline="0">
            <a:latin typeface="Arial" panose="020B0604020202020204" pitchFamily="34" charset="0"/>
            <a:cs typeface="Arial" panose="020B0604020202020204" pitchFamily="34" charset="0"/>
          </a:endParaRP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9. </a:t>
          </a:r>
          <a:r>
            <a:rPr lang="en-GB" sz="1200" i="1" baseline="0">
              <a:latin typeface="Arial" panose="020B0604020202020204" pitchFamily="34" charset="0"/>
              <a:cs typeface="Arial" panose="020B0604020202020204" pitchFamily="34" charset="0"/>
            </a:rPr>
            <a:t>Results</a:t>
          </a:r>
          <a:r>
            <a:rPr lang="en-GB" sz="1200" i="0" baseline="0">
              <a:latin typeface="Arial" panose="020B0604020202020204" pitchFamily="34" charset="0"/>
              <a:cs typeface="Arial" panose="020B0604020202020204" pitchFamily="34" charset="0"/>
            </a:rPr>
            <a:t>: This sheet shows the comparison between the baseline and post-tax scenarios and displays the incremental impacts in terms of numbers of quitters, illness cases averted, and financial risk protection benefits.</a:t>
          </a:r>
        </a:p>
        <a:p>
          <a:endParaRPr lang="en-GB" sz="1200" i="0" baseline="0">
            <a:latin typeface="Arial" panose="020B0604020202020204" pitchFamily="34" charset="0"/>
            <a:cs typeface="Arial" panose="020B0604020202020204" pitchFamily="34" charset="0"/>
          </a:endParaRPr>
        </a:p>
        <a:p>
          <a:r>
            <a:rPr lang="en-GB" sz="1200" i="0" baseline="0">
              <a:latin typeface="Arial" panose="020B0604020202020204" pitchFamily="34" charset="0"/>
              <a:cs typeface="Arial" panose="020B0604020202020204" pitchFamily="34" charset="0"/>
            </a:rPr>
            <a:t>In each sheet there is a brief introduction followed by a set of instructions. Calculations to be filled in are in cells highlighted in yellow.</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228598</xdr:colOff>
      <xdr:row>0</xdr:row>
      <xdr:rowOff>9525</xdr:rowOff>
    </xdr:from>
    <xdr:to>
      <xdr:col>15</xdr:col>
      <xdr:colOff>504264</xdr:colOff>
      <xdr:row>3</xdr:row>
      <xdr:rowOff>76201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231400</xdr:colOff>
      <xdr:row>12</xdr:row>
      <xdr:rowOff>270621</xdr:rowOff>
    </xdr:from>
    <xdr:to>
      <xdr:col>19</xdr:col>
      <xdr:colOff>606237</xdr:colOff>
      <xdr:row>30</xdr:row>
      <xdr:rowOff>122143</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228600</xdr:colOff>
      <xdr:row>3</xdr:row>
      <xdr:rowOff>76198</xdr:rowOff>
    </xdr:from>
    <xdr:to>
      <xdr:col>15</xdr:col>
      <xdr:colOff>504825</xdr:colOff>
      <xdr:row>12</xdr:row>
      <xdr:rowOff>276225</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1</xdr:rowOff>
    </xdr:from>
    <xdr:to>
      <xdr:col>7</xdr:col>
      <xdr:colOff>228600</xdr:colOff>
      <xdr:row>1</xdr:row>
      <xdr:rowOff>0</xdr:rowOff>
    </xdr:to>
    <xdr:sp macro="" textlink="">
      <xdr:nvSpPr>
        <xdr:cNvPr id="5" name="TextBox 4">
          <a:extLst>
            <a:ext uri="{FF2B5EF4-FFF2-40B4-BE49-F238E27FC236}">
              <a16:creationId xmlns:a16="http://schemas.microsoft.com/office/drawing/2014/main" id="{A209FE86-AD59-47A3-9480-A58FAFB916A6}"/>
            </a:ext>
          </a:extLst>
        </xdr:cNvPr>
        <xdr:cNvSpPr txBox="1"/>
      </xdr:nvSpPr>
      <xdr:spPr>
        <a:xfrm>
          <a:off x="0" y="1"/>
          <a:ext cx="8677275"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Inputs</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sheet contains the data inputs.</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1 shows population size and mean household expenditure for each</a:t>
          </a:r>
          <a:r>
            <a:rPr lang="en-GB" sz="1400" b="0" i="0" u="none" strike="noStrike" baseline="0">
              <a:solidFill>
                <a:schemeClr val="dk1"/>
              </a:solidFill>
              <a:effectLst/>
              <a:latin typeface="+mn-lt"/>
              <a:ea typeface="+mn-ea"/>
              <a:cs typeface="+mn-cs"/>
            </a:rPr>
            <a:t> </a:t>
          </a:r>
          <a:r>
            <a:rPr lang="en-GB" sz="1400" b="0" i="0" u="none" strike="noStrike">
              <a:solidFill>
                <a:schemeClr val="dk1"/>
              </a:solidFill>
              <a:effectLst/>
              <a:latin typeface="+mn-lt"/>
              <a:ea typeface="+mn-ea"/>
              <a:cs typeface="+mn-cs"/>
            </a:rPr>
            <a:t>income quintile group.</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2 provides information about the epidemiology and healthcare utilisation. </a:t>
          </a:r>
          <a:br>
            <a:rPr lang="en-GB" sz="1400" b="0" i="0" u="none" strike="noStrike">
              <a:solidFill>
                <a:schemeClr val="dk1"/>
              </a:solidFill>
              <a:effectLst/>
              <a:latin typeface="+mn-lt"/>
              <a:ea typeface="+mn-ea"/>
              <a:cs typeface="+mn-cs"/>
            </a:rPr>
          </a:br>
          <a:r>
            <a:rPr lang="en-GB" sz="1400" b="0" i="0" u="none" strike="noStrike">
              <a:solidFill>
                <a:schemeClr val="dk1"/>
              </a:solidFill>
              <a:effectLst/>
              <a:latin typeface="+mn-lt"/>
              <a:ea typeface="+mn-ea"/>
              <a:cs typeface="+mn-cs"/>
            </a:rPr>
            <a:t>Table 3 lists the illnesses associated with tobacco use and the treatment costs that individuals face.</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1" i="0" u="none" strike="noStrike">
              <a:solidFill>
                <a:schemeClr val="dk1"/>
              </a:solidFill>
              <a:effectLst/>
              <a:latin typeface="+mn-lt"/>
              <a:ea typeface="+mn-ea"/>
              <a:cs typeface="+mn-cs"/>
            </a:rPr>
            <a:t>Instructions: </a:t>
          </a:r>
          <a:r>
            <a:rPr lang="en-GB" sz="1400" b="0" i="0" u="none" strike="noStrike">
              <a:solidFill>
                <a:schemeClr val="dk1"/>
              </a:solidFill>
              <a:effectLst/>
              <a:latin typeface="+mn-lt"/>
              <a:ea typeface="+mn-ea"/>
              <a:cs typeface="+mn-cs"/>
            </a:rPr>
            <a:t>Familiarise</a:t>
          </a:r>
          <a:r>
            <a:rPr lang="en-GB" sz="1400" b="0" i="0" u="none" strike="noStrike" baseline="0">
              <a:solidFill>
                <a:schemeClr val="dk1"/>
              </a:solidFill>
              <a:effectLst/>
              <a:latin typeface="+mn-lt"/>
              <a:ea typeface="+mn-ea"/>
              <a:cs typeface="+mn-cs"/>
            </a:rPr>
            <a:t> yourselves with this input data and make sure you understand the three figures.</a:t>
          </a:r>
          <a:endParaRPr lang="en-GB" sz="14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9</xdr:col>
      <xdr:colOff>447674</xdr:colOff>
      <xdr:row>0</xdr:row>
      <xdr:rowOff>2943225</xdr:rowOff>
    </xdr:to>
    <xdr:sp macro="" textlink="">
      <xdr:nvSpPr>
        <xdr:cNvPr id="2" name="TextBox 1">
          <a:extLst>
            <a:ext uri="{FF2B5EF4-FFF2-40B4-BE49-F238E27FC236}">
              <a16:creationId xmlns:a16="http://schemas.microsoft.com/office/drawing/2014/main" id="{C4367E4D-CE16-4094-928F-AACDB37C42CF}"/>
            </a:ext>
          </a:extLst>
        </xdr:cNvPr>
        <xdr:cNvSpPr txBox="1"/>
      </xdr:nvSpPr>
      <xdr:spPr>
        <a:xfrm>
          <a:off x="0" y="9525"/>
          <a:ext cx="9782174"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Catastrophic Health Expenditure Calculation for Smokers</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 sheet shows the calculations for the baseline levels of catastrophic health expenditure defining the threshold for catastrophic health expenditure as 10% of adult equivalent annual household expenditure (variable name: CHE_Threshold). Table 4 calculates the prevalence of each illness, the prevalence of hospital utilisation, the associated OOP consistent with levels of insurance coverage for each quintile group, and the ratio of OOP to overall household expenditure. The proportion of households incurring catastrophic health expenditure is then calculated based on the number of people that have expenditure exceeding the CHE threshold in each quintile divided by the total population of the quintile. Finally, the sum total catastrophic health expenditure is calculated.</a:t>
          </a:r>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a:p>
          <a:r>
            <a:rPr lang="en-GB" sz="1400" b="1" i="0" u="none" strike="noStrike">
              <a:solidFill>
                <a:schemeClr val="dk1"/>
              </a:solidFill>
              <a:effectLst/>
              <a:latin typeface="+mn-lt"/>
              <a:ea typeface="+mn-ea"/>
              <a:cs typeface="+mn-cs"/>
            </a:rPr>
            <a:t>Instructions: </a:t>
          </a:r>
          <a:r>
            <a:rPr lang="en-GB" sz="1400" b="0" i="0" u="none" strike="noStrike">
              <a:solidFill>
                <a:schemeClr val="dk1"/>
              </a:solidFill>
              <a:effectLst/>
              <a:latin typeface="+mn-lt"/>
              <a:ea typeface="+mn-ea"/>
              <a:cs typeface="+mn-cs"/>
            </a:rPr>
            <a:t>Here you calculate the level of CHE for one of the illnesses, COPD. The figures for the poorest group are already calculated in B14:B18. Calculate the same figures for income groups 2 through 5 in the green cells. After calculating the estimates for all groups, calculate their totals in column G. Finally, in row 50, calculate the overall CHE for all tobacco-related illnesses. </a:t>
          </a:r>
          <a:r>
            <a:rPr lang="en-GB" sz="1400"/>
            <a:t> </a:t>
          </a:r>
          <a:endParaRPr lang="en-GB" sz="14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390524</xdr:colOff>
      <xdr:row>1</xdr:row>
      <xdr:rowOff>19049</xdr:rowOff>
    </xdr:to>
    <xdr:sp macro="" textlink="">
      <xdr:nvSpPr>
        <xdr:cNvPr id="2" name="TextBox 1">
          <a:extLst>
            <a:ext uri="{FF2B5EF4-FFF2-40B4-BE49-F238E27FC236}">
              <a16:creationId xmlns:a16="http://schemas.microsoft.com/office/drawing/2014/main" id="{0B9363A6-324E-452C-9019-292B413EDFF2}"/>
            </a:ext>
          </a:extLst>
        </xdr:cNvPr>
        <xdr:cNvSpPr txBox="1"/>
      </xdr:nvSpPr>
      <xdr:spPr>
        <a:xfrm>
          <a:off x="0" y="0"/>
          <a:ext cx="9782174"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chemeClr val="dk1"/>
              </a:solidFill>
              <a:effectLst/>
              <a:latin typeface="+mn-lt"/>
              <a:ea typeface="+mn-ea"/>
              <a:cs typeface="+mn-cs"/>
            </a:rPr>
            <a:t>Baseline Catastrophic Health Expenditure Calculation for Non-Smokers</a:t>
          </a:r>
        </a:p>
        <a:p>
          <a:endParaRPr lang="en-GB" sz="1400" b="1" i="0" u="none" strike="noStrike">
            <a:solidFill>
              <a:schemeClr val="dk1"/>
            </a:solidFill>
            <a:effectLst/>
            <a:latin typeface="+mn-lt"/>
            <a:ea typeface="+mn-ea"/>
            <a:cs typeface="+mn-cs"/>
          </a:endParaRPr>
        </a:p>
        <a:p>
          <a:r>
            <a:rPr lang="en-GB" sz="1400" b="0" i="0" u="none" strike="noStrike">
              <a:solidFill>
                <a:schemeClr val="dk1"/>
              </a:solidFill>
              <a:effectLst/>
              <a:latin typeface="+mn-lt"/>
              <a:ea typeface="+mn-ea"/>
              <a:cs typeface="+mn-cs"/>
            </a:rPr>
            <a:t>This</a:t>
          </a:r>
          <a:r>
            <a:rPr lang="en-GB" sz="1400" b="0" i="0" u="none" strike="noStrike" baseline="0">
              <a:solidFill>
                <a:schemeClr val="dk1"/>
              </a:solidFill>
              <a:effectLst/>
              <a:latin typeface="+mn-lt"/>
              <a:ea typeface="+mn-ea"/>
              <a:cs typeface="+mn-cs"/>
            </a:rPr>
            <a:t> summary table replicates the previous calculation, except looking at non-smokers rather than smokers.</a:t>
          </a:r>
        </a:p>
        <a:p>
          <a:r>
            <a:rPr lang="en-GB" sz="1400" b="0" i="0" u="none" strike="noStrike" baseline="0">
              <a:solidFill>
                <a:schemeClr val="dk1"/>
              </a:solidFill>
              <a:effectLst/>
              <a:latin typeface="+mn-lt"/>
              <a:ea typeface="+mn-ea"/>
              <a:cs typeface="+mn-cs"/>
            </a:rPr>
            <a:t>The key differences are lower prevalence of smoking-related diseases and lower rates of hospitalisation for those with such illness.</a:t>
          </a:r>
        </a:p>
        <a:p>
          <a:r>
            <a:rPr lang="en-GB" sz="1400" b="0" i="0" u="none" strike="noStrike" baseline="0">
              <a:solidFill>
                <a:schemeClr val="dk1"/>
              </a:solidFill>
              <a:effectLst/>
              <a:latin typeface="+mn-lt"/>
              <a:ea typeface="+mn-ea"/>
              <a:cs typeface="+mn-cs"/>
            </a:rPr>
            <a:t>You do not have to fill out any calculations on this sheet - just compare the different results between smokers and non-smokers and make sure you understand why they occur.</a:t>
          </a:r>
        </a:p>
        <a:p>
          <a:br>
            <a:rPr lang="en-GB" sz="1400" b="0" i="0" u="none" strike="noStrike">
              <a:solidFill>
                <a:schemeClr val="dk1"/>
              </a:solidFill>
              <a:effectLst/>
              <a:latin typeface="+mn-lt"/>
              <a:ea typeface="+mn-ea"/>
              <a:cs typeface="+mn-cs"/>
            </a:rPr>
          </a:br>
          <a:endParaRPr lang="en-GB" sz="1400" b="0" i="0" u="none" strike="noStrike">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114299</xdr:colOff>
      <xdr:row>3</xdr:row>
      <xdr:rowOff>152399</xdr:rowOff>
    </xdr:from>
    <xdr:to>
      <xdr:col>11</xdr:col>
      <xdr:colOff>180974</xdr:colOff>
      <xdr:row>29</xdr:row>
      <xdr:rowOff>104774</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464004</xdr:colOff>
      <xdr:row>6</xdr:row>
      <xdr:rowOff>427264</xdr:rowOff>
    </xdr:from>
    <xdr:to>
      <xdr:col>15</xdr:col>
      <xdr:colOff>140154</xdr:colOff>
      <xdr:row>15</xdr:row>
      <xdr:rowOff>66675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333375</xdr:colOff>
      <xdr:row>4</xdr:row>
      <xdr:rowOff>38100</xdr:rowOff>
    </xdr:from>
    <xdr:to>
      <xdr:col>10</xdr:col>
      <xdr:colOff>323850</xdr:colOff>
      <xdr:row>25</xdr:row>
      <xdr:rowOff>152400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28575</xdr:colOff>
      <xdr:row>1</xdr:row>
      <xdr:rowOff>180976</xdr:rowOff>
    </xdr:from>
    <xdr:to>
      <xdr:col>16</xdr:col>
      <xdr:colOff>85725</xdr:colOff>
      <xdr:row>13</xdr:row>
      <xdr:rowOff>19051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xdr:colOff>
      <xdr:row>13</xdr:row>
      <xdr:rowOff>28574</xdr:rowOff>
    </xdr:from>
    <xdr:to>
      <xdr:col>21</xdr:col>
      <xdr:colOff>400050</xdr:colOff>
      <xdr:row>33</xdr:row>
      <xdr:rowOff>152399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workbookViewId="0"/>
  </sheetViews>
  <sheetFormatPr defaultRowHeight="15" x14ac:dyDescent="0.25"/>
  <sheetData>
    <row r="1" spans="1:1" x14ac:dyDescent="0.25">
      <c r="A1" s="1" t="s">
        <v>75</v>
      </c>
    </row>
    <row r="22" spans="7:7" ht="15.75" x14ac:dyDescent="0.25">
      <c r="G22" s="13"/>
    </row>
    <row r="23" spans="7:7" ht="15.75" x14ac:dyDescent="0.25">
      <c r="G23" s="13"/>
    </row>
  </sheetData>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election sqref="A1:G5"/>
    </sheetView>
  </sheetViews>
  <sheetFormatPr defaultRowHeight="15" x14ac:dyDescent="0.25"/>
  <cols>
    <col min="1" max="1" width="27.28515625" customWidth="1"/>
    <col min="2" max="7" width="10.28515625" customWidth="1"/>
  </cols>
  <sheetData>
    <row r="1" spans="1:7" x14ac:dyDescent="0.25">
      <c r="A1" s="132" t="s">
        <v>70</v>
      </c>
      <c r="B1" s="133"/>
      <c r="C1" s="133"/>
      <c r="D1" s="133"/>
      <c r="E1" s="133"/>
      <c r="F1" s="133"/>
      <c r="G1" s="133"/>
    </row>
    <row r="2" spans="1:7" x14ac:dyDescent="0.25">
      <c r="A2" s="133"/>
      <c r="B2" s="133"/>
      <c r="C2" s="133"/>
      <c r="D2" s="133"/>
      <c r="E2" s="133"/>
      <c r="F2" s="133"/>
      <c r="G2" s="133"/>
    </row>
    <row r="3" spans="1:7" x14ac:dyDescent="0.25">
      <c r="A3" s="133"/>
      <c r="B3" s="133"/>
      <c r="C3" s="133"/>
      <c r="D3" s="133"/>
      <c r="E3" s="133"/>
      <c r="F3" s="133"/>
      <c r="G3" s="133"/>
    </row>
    <row r="4" spans="1:7" x14ac:dyDescent="0.25">
      <c r="A4" s="133"/>
      <c r="B4" s="133"/>
      <c r="C4" s="133"/>
      <c r="D4" s="133"/>
      <c r="E4" s="133"/>
      <c r="F4" s="133"/>
      <c r="G4" s="133"/>
    </row>
    <row r="5" spans="1:7" ht="93.75" customHeight="1" x14ac:dyDescent="0.25">
      <c r="A5" s="133"/>
      <c r="B5" s="133"/>
      <c r="C5" s="133"/>
      <c r="D5" s="133"/>
      <c r="E5" s="133"/>
      <c r="F5" s="133"/>
      <c r="G5" s="133"/>
    </row>
    <row r="7" spans="1:7" ht="15.75" x14ac:dyDescent="0.25">
      <c r="A7" s="107" t="s">
        <v>69</v>
      </c>
      <c r="B7" s="15"/>
      <c r="C7" s="15"/>
      <c r="D7" s="15"/>
      <c r="E7" s="15"/>
      <c r="F7" s="15"/>
      <c r="G7" s="15"/>
    </row>
    <row r="8" spans="1:7" ht="47.25" x14ac:dyDescent="0.25">
      <c r="A8" s="108"/>
      <c r="B8" s="17" t="s">
        <v>55</v>
      </c>
      <c r="C8" s="109" t="s">
        <v>0</v>
      </c>
      <c r="D8" s="109" t="s">
        <v>1</v>
      </c>
      <c r="E8" s="109" t="s">
        <v>2</v>
      </c>
      <c r="F8" s="17" t="s">
        <v>56</v>
      </c>
      <c r="G8" s="18" t="s">
        <v>3</v>
      </c>
    </row>
    <row r="9" spans="1:7" ht="15.75" x14ac:dyDescent="0.25">
      <c r="A9" s="110" t="s">
        <v>42</v>
      </c>
      <c r="B9" s="111">
        <f>('1. Baseline Inputs'!B4*'1. Baseline Inputs'!B10)-('1. Baseline Inputs'!B4*'5. Tax Scenario'!B16)</f>
        <v>19040</v>
      </c>
      <c r="C9" s="112"/>
      <c r="D9" s="112"/>
      <c r="E9" s="112"/>
      <c r="F9" s="112"/>
      <c r="G9" s="112"/>
    </row>
    <row r="10" spans="1:7" ht="15.75" x14ac:dyDescent="0.25">
      <c r="A10" s="110"/>
      <c r="B10" s="113"/>
      <c r="C10" s="113"/>
      <c r="D10" s="113"/>
      <c r="E10" s="113"/>
      <c r="F10" s="113"/>
      <c r="G10" s="113"/>
    </row>
    <row r="11" spans="1:7" ht="15.75" x14ac:dyDescent="0.25">
      <c r="A11" s="114" t="s">
        <v>44</v>
      </c>
      <c r="B11" s="115"/>
      <c r="C11" s="115"/>
      <c r="D11" s="115"/>
      <c r="E11" s="115"/>
      <c r="F11" s="115"/>
      <c r="G11" s="116"/>
    </row>
    <row r="12" spans="1:7" ht="15.75" x14ac:dyDescent="0.25">
      <c r="A12" s="110" t="s">
        <v>47</v>
      </c>
      <c r="B12" s="117">
        <f>' 2. Baseline CHE Smokers'!B8-'6. Tax CHE'!B12</f>
        <v>235.14399999999932</v>
      </c>
      <c r="C12" s="118"/>
      <c r="D12" s="118"/>
      <c r="E12" s="118"/>
      <c r="F12" s="118"/>
      <c r="G12" s="118"/>
    </row>
    <row r="13" spans="1:7" ht="15.75" x14ac:dyDescent="0.25">
      <c r="A13" s="110" t="s">
        <v>48</v>
      </c>
      <c r="B13" s="117">
        <f>' 2. Baseline CHE Smokers'!B14-'6. Tax CHE'!B18</f>
        <v>488.3760000000002</v>
      </c>
      <c r="C13" s="117">
        <f>' 2. Baseline CHE Smokers'!C14-'6. Tax CHE'!C18</f>
        <v>6104.7000000000016</v>
      </c>
      <c r="D13" s="117">
        <f>' 2. Baseline CHE Smokers'!D14-'6. Tax CHE'!D18</f>
        <v>6196.5000000000018</v>
      </c>
      <c r="E13" s="117">
        <f>' 2. Baseline CHE Smokers'!E14-'6. Tax CHE'!E18</f>
        <v>5794.8750000000009</v>
      </c>
      <c r="F13" s="117">
        <f>' 2. Baseline CHE Smokers'!F14-'6. Tax CHE'!F18</f>
        <v>5452.920000000001</v>
      </c>
      <c r="G13" s="119">
        <f t="shared" ref="G13:G18" si="0">SUM(B13:F13)</f>
        <v>24037.371000000006</v>
      </c>
    </row>
    <row r="14" spans="1:7" ht="15.75" x14ac:dyDescent="0.25">
      <c r="A14" s="110" t="s">
        <v>49</v>
      </c>
      <c r="B14" s="117">
        <f>' 2. Baseline CHE Smokers'!B20-'6. Tax CHE'!B24</f>
        <v>687.34400000000005</v>
      </c>
      <c r="C14" s="117">
        <f>' 2. Baseline CHE Smokers'!C20-'6. Tax CHE'!C24</f>
        <v>8591.8000000000011</v>
      </c>
      <c r="D14" s="117">
        <f>' 2. Baseline CHE Smokers'!D20-'6. Tax CHE'!D24</f>
        <v>8721.0000000000018</v>
      </c>
      <c r="E14" s="117">
        <f>' 2. Baseline CHE Smokers'!E20-'6. Tax CHE'!E24</f>
        <v>8155.75</v>
      </c>
      <c r="F14" s="117">
        <f>' 2. Baseline CHE Smokers'!F20-'6. Tax CHE'!F24</f>
        <v>7674.4800000000005</v>
      </c>
      <c r="G14" s="119">
        <f t="shared" si="0"/>
        <v>33830.374000000003</v>
      </c>
    </row>
    <row r="15" spans="1:7" ht="15.75" x14ac:dyDescent="0.25">
      <c r="A15" s="110" t="s">
        <v>50</v>
      </c>
      <c r="B15" s="117">
        <f>' 2. Baseline CHE Smokers'!B26-'6. Tax CHE'!B30</f>
        <v>1989.6800000000039</v>
      </c>
      <c r="C15" s="117">
        <f>' 2. Baseline CHE Smokers'!C26-'6. Tax CHE'!C30</f>
        <v>24871.000000000007</v>
      </c>
      <c r="D15" s="117">
        <f>' 2. Baseline CHE Smokers'!D26-'6. Tax CHE'!D30</f>
        <v>25245.000000000007</v>
      </c>
      <c r="E15" s="117">
        <f>' 2. Baseline CHE Smokers'!E26-'6. Tax CHE'!E30</f>
        <v>23608.750000000004</v>
      </c>
      <c r="F15" s="117">
        <f>' 2. Baseline CHE Smokers'!F26-'6. Tax CHE'!F30</f>
        <v>22215.600000000006</v>
      </c>
      <c r="G15" s="119">
        <f t="shared" si="0"/>
        <v>97930.030000000028</v>
      </c>
    </row>
    <row r="16" spans="1:7" ht="15.75" x14ac:dyDescent="0.25">
      <c r="A16" s="110" t="s">
        <v>53</v>
      </c>
      <c r="B16" s="117">
        <f>' 2. Baseline CHE Smokers'!B32-'6. Tax CHE'!B36</f>
        <v>108.52800000000025</v>
      </c>
      <c r="C16" s="117">
        <f>' 2. Baseline CHE Smokers'!C32-'6. Tax CHE'!C36</f>
        <v>1356.6000000000004</v>
      </c>
      <c r="D16" s="117">
        <f>' 2. Baseline CHE Smokers'!D32-'6. Tax CHE'!D36</f>
        <v>1377.0000000000002</v>
      </c>
      <c r="E16" s="117">
        <f>' 2. Baseline CHE Smokers'!E32-'6. Tax CHE'!E36</f>
        <v>1287.75</v>
      </c>
      <c r="F16" s="117">
        <f>' 2. Baseline CHE Smokers'!F32-'6. Tax CHE'!F36</f>
        <v>1211.76</v>
      </c>
      <c r="G16" s="119">
        <f t="shared" si="0"/>
        <v>5341.6380000000008</v>
      </c>
    </row>
    <row r="17" spans="1:7" ht="15.75" x14ac:dyDescent="0.25">
      <c r="A17" s="110" t="s">
        <v>51</v>
      </c>
      <c r="B17" s="117">
        <f>' 2. Baseline CHE Smokers'!B38-'6. Tax CHE'!B42</f>
        <v>108.52800000000025</v>
      </c>
      <c r="C17" s="117">
        <f>' 2. Baseline CHE Smokers'!C38-'6. Tax CHE'!C42</f>
        <v>1356.6000000000004</v>
      </c>
      <c r="D17" s="117">
        <f>' 2. Baseline CHE Smokers'!D38-'6. Tax CHE'!D42</f>
        <v>1377.0000000000002</v>
      </c>
      <c r="E17" s="117">
        <f>' 2. Baseline CHE Smokers'!E38-'6. Tax CHE'!E42</f>
        <v>1287.75</v>
      </c>
      <c r="F17" s="117">
        <f>' 2. Baseline CHE Smokers'!F38-'6. Tax CHE'!F42</f>
        <v>1211.76</v>
      </c>
      <c r="G17" s="119">
        <f t="shared" si="0"/>
        <v>5341.6380000000008</v>
      </c>
    </row>
    <row r="18" spans="1:7" ht="15.75" x14ac:dyDescent="0.25">
      <c r="A18" s="110" t="s">
        <v>52</v>
      </c>
      <c r="B18" s="117">
        <f>SUM(B12:B17)</f>
        <v>3617.600000000004</v>
      </c>
      <c r="C18" s="117">
        <f t="shared" ref="C18:F18" si="1">SUM(C12:C17)</f>
        <v>42280.700000000012</v>
      </c>
      <c r="D18" s="117">
        <f t="shared" si="1"/>
        <v>42916.500000000015</v>
      </c>
      <c r="E18" s="117">
        <f t="shared" si="1"/>
        <v>40134.875</v>
      </c>
      <c r="F18" s="117">
        <f t="shared" si="1"/>
        <v>37766.520000000011</v>
      </c>
      <c r="G18" s="119">
        <f t="shared" si="0"/>
        <v>166716.19500000004</v>
      </c>
    </row>
    <row r="19" spans="1:7" ht="15.75" x14ac:dyDescent="0.25">
      <c r="A19" s="120"/>
      <c r="B19" s="115"/>
      <c r="C19" s="115"/>
      <c r="D19" s="115"/>
      <c r="E19" s="115"/>
      <c r="F19" s="115"/>
      <c r="G19" s="116"/>
    </row>
    <row r="20" spans="1:7" ht="15.75" x14ac:dyDescent="0.25">
      <c r="A20" s="114" t="s">
        <v>41</v>
      </c>
      <c r="B20" s="115"/>
      <c r="C20" s="115"/>
      <c r="D20" s="115"/>
      <c r="E20" s="115"/>
      <c r="F20" s="115"/>
      <c r="G20" s="116"/>
    </row>
    <row r="21" spans="1:7" ht="15.75" x14ac:dyDescent="0.25">
      <c r="A21" s="110" t="s">
        <v>45</v>
      </c>
      <c r="B21" s="121">
        <f>' 2. Baseline CHE Smokers'!B43</f>
        <v>0</v>
      </c>
      <c r="C21" s="121">
        <f>' 2. Baseline CHE Smokers'!C43</f>
        <v>0</v>
      </c>
      <c r="D21" s="121">
        <f>' 2. Baseline CHE Smokers'!D43</f>
        <v>0</v>
      </c>
      <c r="E21" s="121">
        <f>' 2. Baseline CHE Smokers'!E43</f>
        <v>0</v>
      </c>
      <c r="F21" s="121">
        <f>' 2. Baseline CHE Smokers'!F43</f>
        <v>0</v>
      </c>
      <c r="G21" s="121">
        <f>' 2. Baseline CHE Smokers'!G43</f>
        <v>0</v>
      </c>
    </row>
    <row r="22" spans="1:7" ht="15.75" x14ac:dyDescent="0.25">
      <c r="A22" s="110" t="s">
        <v>46</v>
      </c>
      <c r="B22" s="121">
        <f>'6. Tax CHE'!B47</f>
        <v>4.8944000000000015E-2</v>
      </c>
      <c r="C22" s="121">
        <f>'6. Tax CHE'!C47</f>
        <v>0</v>
      </c>
      <c r="D22" s="121">
        <f>'6. Tax CHE'!D47</f>
        <v>0</v>
      </c>
      <c r="E22" s="121">
        <f>'6. Tax CHE'!E47</f>
        <v>0</v>
      </c>
      <c r="F22" s="121">
        <f>'6. Tax CHE'!F47</f>
        <v>0</v>
      </c>
      <c r="G22" s="121">
        <f>'6. Tax CHE'!G47</f>
        <v>4.5762640000000007E-2</v>
      </c>
    </row>
    <row r="23" spans="1:7" ht="15.75" x14ac:dyDescent="0.25">
      <c r="A23" s="110"/>
      <c r="B23" s="120"/>
      <c r="C23" s="120"/>
      <c r="D23" s="120"/>
      <c r="E23" s="120"/>
      <c r="F23" s="120"/>
      <c r="G23" s="120"/>
    </row>
    <row r="24" spans="1:7" ht="15.75" x14ac:dyDescent="0.25">
      <c r="A24" s="122" t="s">
        <v>15</v>
      </c>
      <c r="B24" s="123"/>
      <c r="C24" s="123"/>
      <c r="D24" s="123"/>
      <c r="E24" s="123"/>
      <c r="F24" s="123"/>
      <c r="G24" s="123"/>
    </row>
  </sheetData>
  <mergeCells count="1">
    <mergeCell ref="A1: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4597-554F-42FB-95E8-49FC8A30BF6C}">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8"/>
  <sheetViews>
    <sheetView showGridLines="0" zoomScaleNormal="100" workbookViewId="0">
      <selection activeCell="A2" sqref="A2"/>
    </sheetView>
  </sheetViews>
  <sheetFormatPr defaultRowHeight="15" x14ac:dyDescent="0.25"/>
  <cols>
    <col min="1" max="1" width="49.42578125" customWidth="1"/>
    <col min="2" max="2" width="14.5703125" customWidth="1"/>
    <col min="3" max="3" width="13.85546875" customWidth="1"/>
    <col min="4" max="4" width="11.28515625" customWidth="1"/>
    <col min="5" max="5" width="10" customWidth="1"/>
    <col min="6" max="6" width="13.140625" customWidth="1"/>
    <col min="7" max="7" width="14.42578125" customWidth="1"/>
  </cols>
  <sheetData>
    <row r="1" spans="1:11" ht="155.25" customHeight="1" x14ac:dyDescent="0.25"/>
    <row r="2" spans="1:11" ht="18.75" x14ac:dyDescent="0.3">
      <c r="A2" s="47" t="s">
        <v>59</v>
      </c>
      <c r="B2" s="48"/>
      <c r="C2" s="48"/>
      <c r="D2" s="48"/>
      <c r="E2" s="48"/>
      <c r="F2" s="48"/>
      <c r="G2" s="48"/>
    </row>
    <row r="3" spans="1:11" ht="63" customHeight="1" x14ac:dyDescent="0.3">
      <c r="A3" s="49"/>
      <c r="B3" s="50" t="s">
        <v>16</v>
      </c>
      <c r="C3" s="50" t="s">
        <v>17</v>
      </c>
      <c r="D3" s="50" t="s">
        <v>18</v>
      </c>
      <c r="E3" s="50" t="s">
        <v>19</v>
      </c>
      <c r="F3" s="50" t="s">
        <v>20</v>
      </c>
      <c r="G3" s="51" t="s">
        <v>28</v>
      </c>
      <c r="H3" s="9"/>
      <c r="I3" s="9"/>
      <c r="J3" s="9"/>
      <c r="K3" s="9"/>
    </row>
    <row r="4" spans="1:11" ht="18.75" x14ac:dyDescent="0.3">
      <c r="A4" s="52" t="s">
        <v>6</v>
      </c>
      <c r="B4" s="53">
        <f>$G4/5</f>
        <v>850000</v>
      </c>
      <c r="C4" s="53">
        <f t="shared" ref="C4:F4" si="0">$G4/5</f>
        <v>850000</v>
      </c>
      <c r="D4" s="53">
        <f t="shared" si="0"/>
        <v>850000</v>
      </c>
      <c r="E4" s="53">
        <f t="shared" si="0"/>
        <v>850000</v>
      </c>
      <c r="F4" s="53">
        <f t="shared" si="0"/>
        <v>850000</v>
      </c>
      <c r="G4" s="53">
        <v>4250000</v>
      </c>
      <c r="H4" s="10"/>
      <c r="I4" s="10"/>
      <c r="J4" s="10"/>
      <c r="K4" s="10"/>
    </row>
    <row r="5" spans="1:11" ht="37.5" x14ac:dyDescent="0.3">
      <c r="A5" s="54" t="s">
        <v>7</v>
      </c>
      <c r="B5" s="55">
        <v>1604</v>
      </c>
      <c r="C5" s="55">
        <v>2589</v>
      </c>
      <c r="D5" s="55">
        <v>3557</v>
      </c>
      <c r="E5" s="55">
        <v>4943</v>
      </c>
      <c r="F5" s="55">
        <v>9329</v>
      </c>
      <c r="G5" s="56">
        <f>AVERAGE(B5:F5)</f>
        <v>4404.3999999999996</v>
      </c>
      <c r="H5" s="9"/>
      <c r="I5" s="9"/>
      <c r="J5" s="9"/>
      <c r="K5" s="9"/>
    </row>
    <row r="6" spans="1:11" ht="18.75" x14ac:dyDescent="0.3">
      <c r="A6" s="57" t="s">
        <v>38</v>
      </c>
      <c r="B6" s="58"/>
      <c r="C6" s="58"/>
      <c r="D6" s="58"/>
      <c r="E6" s="58"/>
      <c r="F6" s="58"/>
      <c r="G6" s="59"/>
      <c r="H6" s="9"/>
      <c r="I6" s="9"/>
      <c r="J6" s="9"/>
      <c r="K6" s="9"/>
    </row>
    <row r="7" spans="1:11" ht="18.75" x14ac:dyDescent="0.3">
      <c r="A7" s="60"/>
      <c r="B7" s="58"/>
      <c r="C7" s="58"/>
      <c r="D7" s="58"/>
      <c r="E7" s="58"/>
      <c r="F7" s="58"/>
      <c r="G7" s="61"/>
      <c r="H7" s="9"/>
      <c r="I7" s="9"/>
      <c r="J7" s="9"/>
      <c r="K7" s="9"/>
    </row>
    <row r="8" spans="1:11" ht="18.75" x14ac:dyDescent="0.3">
      <c r="A8" s="62" t="s">
        <v>25</v>
      </c>
      <c r="B8" s="58"/>
      <c r="C8" s="58"/>
      <c r="D8" s="58"/>
      <c r="E8" s="58"/>
      <c r="F8" s="58"/>
      <c r="G8" s="61"/>
      <c r="H8" s="9"/>
      <c r="I8" s="9"/>
      <c r="J8" s="9"/>
      <c r="K8" s="9"/>
    </row>
    <row r="9" spans="1:11" ht="59.25" customHeight="1" x14ac:dyDescent="0.3">
      <c r="A9" s="49"/>
      <c r="B9" s="50" t="s">
        <v>16</v>
      </c>
      <c r="C9" s="50" t="s">
        <v>17</v>
      </c>
      <c r="D9" s="50" t="s">
        <v>18</v>
      </c>
      <c r="E9" s="50" t="s">
        <v>19</v>
      </c>
      <c r="F9" s="50" t="s">
        <v>20</v>
      </c>
      <c r="G9" s="51" t="s">
        <v>28</v>
      </c>
      <c r="H9" s="9"/>
      <c r="I9" s="9"/>
      <c r="J9" s="9"/>
      <c r="K9" s="9"/>
    </row>
    <row r="10" spans="1:11" ht="18.75" x14ac:dyDescent="0.3">
      <c r="A10" s="63" t="s">
        <v>4</v>
      </c>
      <c r="B10" s="64">
        <v>0.28000000000000003</v>
      </c>
      <c r="C10" s="64">
        <v>0.28000000000000003</v>
      </c>
      <c r="D10" s="64">
        <v>0.27</v>
      </c>
      <c r="E10" s="64">
        <v>0.25</v>
      </c>
      <c r="F10" s="64">
        <v>0.22</v>
      </c>
      <c r="G10" s="65">
        <f>AVERAGE(B10:F10)</f>
        <v>0.26</v>
      </c>
      <c r="H10" s="9"/>
      <c r="I10" s="9"/>
      <c r="J10" s="9"/>
      <c r="K10" s="9"/>
    </row>
    <row r="11" spans="1:11" ht="42" customHeight="1" x14ac:dyDescent="0.25">
      <c r="A11" s="66" t="s">
        <v>33</v>
      </c>
      <c r="B11" s="67">
        <v>0.2</v>
      </c>
      <c r="C11" s="67">
        <v>0.2</v>
      </c>
      <c r="D11" s="67">
        <v>0.2</v>
      </c>
      <c r="E11" s="67">
        <v>0.2</v>
      </c>
      <c r="F11" s="67">
        <v>0.2</v>
      </c>
      <c r="G11" s="67">
        <v>0.2</v>
      </c>
      <c r="H11" s="9"/>
      <c r="I11" s="9"/>
      <c r="J11" s="9"/>
      <c r="K11" s="9"/>
    </row>
    <row r="12" spans="1:11" ht="42" customHeight="1" x14ac:dyDescent="0.25">
      <c r="A12" s="66" t="s">
        <v>71</v>
      </c>
      <c r="B12" s="67">
        <v>0.05</v>
      </c>
      <c r="C12" s="67">
        <v>0.05</v>
      </c>
      <c r="D12" s="67">
        <v>0.05</v>
      </c>
      <c r="E12" s="67">
        <v>0.05</v>
      </c>
      <c r="F12" s="67">
        <v>0.05</v>
      </c>
      <c r="G12" s="67">
        <v>0.05</v>
      </c>
      <c r="H12" s="9"/>
      <c r="I12" s="9"/>
      <c r="J12" s="9"/>
      <c r="K12" s="9"/>
    </row>
    <row r="13" spans="1:11" ht="43.5" customHeight="1" x14ac:dyDescent="0.25">
      <c r="A13" s="66" t="s">
        <v>26</v>
      </c>
      <c r="B13" s="68">
        <v>0.95</v>
      </c>
      <c r="C13" s="68">
        <v>0.95</v>
      </c>
      <c r="D13" s="69">
        <v>1</v>
      </c>
      <c r="E13" s="68">
        <v>1.01</v>
      </c>
      <c r="F13" s="68">
        <v>1.08</v>
      </c>
      <c r="G13" s="69">
        <v>1</v>
      </c>
      <c r="H13" s="9"/>
      <c r="I13" s="9"/>
      <c r="J13" s="9"/>
      <c r="K13" s="9"/>
    </row>
    <row r="14" spans="1:11" ht="24.75" customHeight="1" x14ac:dyDescent="0.25">
      <c r="A14" s="70" t="s">
        <v>27</v>
      </c>
      <c r="B14" s="71">
        <v>0.83</v>
      </c>
      <c r="C14" s="71">
        <v>0.7</v>
      </c>
      <c r="D14" s="71">
        <v>0.6</v>
      </c>
      <c r="E14" s="71">
        <v>0.49</v>
      </c>
      <c r="F14" s="71">
        <v>0.35</v>
      </c>
      <c r="G14" s="72">
        <f>AVERAGE(B14:F14)</f>
        <v>0.59400000000000008</v>
      </c>
      <c r="H14" s="9"/>
      <c r="I14" s="9"/>
      <c r="J14" s="9"/>
      <c r="K14" s="9"/>
    </row>
    <row r="15" spans="1:11" ht="54" customHeight="1" x14ac:dyDescent="0.3">
      <c r="A15" s="126" t="s">
        <v>58</v>
      </c>
      <c r="B15" s="126"/>
      <c r="C15" s="126"/>
      <c r="D15" s="126"/>
      <c r="E15" s="126"/>
      <c r="F15" s="126"/>
      <c r="G15" s="73"/>
    </row>
    <row r="16" spans="1:11" x14ac:dyDescent="0.25">
      <c r="A16" s="4"/>
      <c r="B16" s="3"/>
      <c r="C16" s="3"/>
      <c r="D16" s="3"/>
      <c r="E16" s="3"/>
      <c r="F16" s="3"/>
    </row>
    <row r="17" spans="1:7" ht="18.75" x14ac:dyDescent="0.3">
      <c r="A17" s="74" t="s">
        <v>73</v>
      </c>
      <c r="B17" s="124">
        <v>0.1</v>
      </c>
      <c r="C17" s="3"/>
      <c r="D17" s="3"/>
      <c r="E17" s="3"/>
      <c r="F17" s="3"/>
    </row>
    <row r="18" spans="1:7" x14ac:dyDescent="0.25">
      <c r="A18" s="4"/>
      <c r="B18" s="3"/>
      <c r="C18" s="3"/>
      <c r="D18" s="3"/>
      <c r="E18" s="3"/>
      <c r="F18" s="3"/>
    </row>
    <row r="19" spans="1:7" ht="18.75" x14ac:dyDescent="0.3">
      <c r="A19" s="74" t="s">
        <v>39</v>
      </c>
      <c r="B19" s="75"/>
      <c r="C19" s="75"/>
      <c r="D19" s="75"/>
      <c r="E19" s="75"/>
      <c r="F19" s="75"/>
      <c r="G19" s="48"/>
    </row>
    <row r="20" spans="1:7" ht="116.25" customHeight="1" x14ac:dyDescent="0.3">
      <c r="A20" s="49" t="s">
        <v>11</v>
      </c>
      <c r="B20" s="76" t="s">
        <v>32</v>
      </c>
      <c r="C20" s="77" t="s">
        <v>31</v>
      </c>
      <c r="D20" s="75"/>
      <c r="E20" s="75"/>
      <c r="F20" s="75"/>
      <c r="G20" s="48"/>
    </row>
    <row r="21" spans="1:7" ht="18.75" x14ac:dyDescent="0.3">
      <c r="A21" s="78" t="s">
        <v>8</v>
      </c>
      <c r="B21" s="79">
        <v>6.5000000000000002E-2</v>
      </c>
      <c r="C21" s="80">
        <v>951</v>
      </c>
      <c r="D21" s="75"/>
      <c r="E21" s="75"/>
      <c r="F21" s="75"/>
      <c r="G21" s="48"/>
    </row>
    <row r="22" spans="1:7" ht="18.75" x14ac:dyDescent="0.3">
      <c r="A22" s="78" t="s">
        <v>21</v>
      </c>
      <c r="B22" s="79">
        <v>0.13500000000000001</v>
      </c>
      <c r="C22" s="81">
        <v>2227</v>
      </c>
      <c r="D22" s="75"/>
      <c r="E22" s="75"/>
      <c r="F22" s="75"/>
      <c r="G22" s="48"/>
    </row>
    <row r="23" spans="1:7" ht="18.75" x14ac:dyDescent="0.3">
      <c r="A23" s="78" t="s">
        <v>9</v>
      </c>
      <c r="B23" s="79">
        <v>0.19</v>
      </c>
      <c r="C23" s="81">
        <v>951</v>
      </c>
      <c r="D23" s="75"/>
      <c r="E23" s="75"/>
      <c r="F23" s="75"/>
      <c r="G23" s="48"/>
    </row>
    <row r="24" spans="1:7" ht="18.75" x14ac:dyDescent="0.3">
      <c r="A24" s="78" t="s">
        <v>10</v>
      </c>
      <c r="B24" s="79">
        <v>0.55000000000000004</v>
      </c>
      <c r="C24" s="81">
        <v>1466</v>
      </c>
      <c r="D24" s="82"/>
      <c r="E24" s="82"/>
      <c r="F24" s="82"/>
      <c r="G24" s="48"/>
    </row>
    <row r="25" spans="1:7" ht="18.75" x14ac:dyDescent="0.3">
      <c r="A25" s="74" t="s">
        <v>54</v>
      </c>
      <c r="B25" s="79">
        <v>0.03</v>
      </c>
      <c r="C25" s="81">
        <v>1466</v>
      </c>
      <c r="D25" s="58"/>
      <c r="E25" s="58"/>
      <c r="F25" s="58"/>
      <c r="G25" s="48"/>
    </row>
    <row r="26" spans="1:7" ht="18.75" x14ac:dyDescent="0.3">
      <c r="A26" s="83" t="s">
        <v>22</v>
      </c>
      <c r="B26" s="84">
        <v>0.03</v>
      </c>
      <c r="C26" s="85">
        <v>2227</v>
      </c>
      <c r="D26" s="82"/>
      <c r="E26" s="82"/>
      <c r="F26" s="82"/>
      <c r="G26" s="48"/>
    </row>
    <row r="27" spans="1:7" ht="18.75" x14ac:dyDescent="0.3">
      <c r="A27" s="83" t="s">
        <v>28</v>
      </c>
      <c r="B27" s="86">
        <f>SUM(B21:B26)</f>
        <v>1</v>
      </c>
      <c r="C27" s="87"/>
      <c r="D27" s="82"/>
      <c r="E27" s="82"/>
      <c r="F27" s="82"/>
      <c r="G27" s="48"/>
    </row>
    <row r="28" spans="1:7" ht="18.75" x14ac:dyDescent="0.3">
      <c r="A28" s="57" t="s">
        <v>24</v>
      </c>
      <c r="B28" s="75"/>
      <c r="C28" s="75"/>
      <c r="D28" s="75"/>
      <c r="E28" s="75"/>
      <c r="F28" s="75"/>
      <c r="G28" s="48"/>
    </row>
    <row r="29" spans="1:7" ht="60.75" customHeight="1" x14ac:dyDescent="0.3">
      <c r="A29" s="127" t="s">
        <v>23</v>
      </c>
      <c r="B29" s="127"/>
      <c r="C29" s="127"/>
      <c r="D29" s="75"/>
      <c r="E29" s="75"/>
      <c r="F29" s="75"/>
      <c r="G29" s="48"/>
    </row>
    <row r="30" spans="1:7" x14ac:dyDescent="0.25">
      <c r="A30" s="4"/>
      <c r="B30" s="3"/>
      <c r="C30" s="3"/>
      <c r="D30" s="3"/>
      <c r="E30" s="3"/>
      <c r="F30" s="3"/>
    </row>
    <row r="38" s="8" customFormat="1" x14ac:dyDescent="0.25"/>
    <row r="39" s="8" customFormat="1" x14ac:dyDescent="0.25"/>
    <row r="40" s="8" customFormat="1" x14ac:dyDescent="0.25"/>
    <row r="44" ht="35.25" customHeight="1" x14ac:dyDescent="0.25"/>
    <row r="45" ht="36" customHeight="1" x14ac:dyDescent="0.25"/>
    <row r="46" ht="20.25" customHeight="1" x14ac:dyDescent="0.25"/>
    <row r="47" ht="21" customHeight="1" x14ac:dyDescent="0.25"/>
    <row r="48" ht="25.5" customHeight="1" x14ac:dyDescent="0.25"/>
    <row r="50" ht="22.5" customHeight="1" x14ac:dyDescent="0.25"/>
    <row r="51" ht="36" customHeight="1" x14ac:dyDescent="0.25"/>
    <row r="52" ht="20.25" customHeight="1" x14ac:dyDescent="0.25"/>
    <row r="53" ht="20.25" customHeight="1" x14ac:dyDescent="0.25"/>
    <row r="54" ht="20.25" customHeight="1" x14ac:dyDescent="0.25"/>
    <row r="56" ht="23.25" customHeight="1" x14ac:dyDescent="0.25"/>
    <row r="57" ht="34.5" customHeight="1" x14ac:dyDescent="0.25"/>
    <row r="58" ht="23.25" customHeight="1" x14ac:dyDescent="0.25"/>
    <row r="59" ht="23.25" customHeight="1" x14ac:dyDescent="0.25"/>
    <row r="60" ht="23.25" customHeight="1" x14ac:dyDescent="0.25"/>
    <row r="62" ht="24.75" customHeight="1" x14ac:dyDescent="0.25"/>
    <row r="63" ht="32.25" customHeight="1" x14ac:dyDescent="0.25"/>
    <row r="64" ht="24.75" customHeight="1" x14ac:dyDescent="0.25"/>
    <row r="65" ht="24.75" customHeight="1" x14ac:dyDescent="0.25"/>
    <row r="66" ht="24.75" customHeight="1" x14ac:dyDescent="0.25"/>
    <row r="68" ht="24.75" customHeight="1" x14ac:dyDescent="0.25"/>
    <row r="69" ht="36" customHeight="1" x14ac:dyDescent="0.25"/>
    <row r="70" ht="24.75" customHeight="1" x14ac:dyDescent="0.25"/>
    <row r="71" ht="24.75" customHeight="1" x14ac:dyDescent="0.25"/>
    <row r="72" ht="24.75" customHeight="1" x14ac:dyDescent="0.25"/>
    <row r="74" ht="28.5" customHeight="1" x14ac:dyDescent="0.25"/>
    <row r="75" ht="36" customHeight="1" x14ac:dyDescent="0.25"/>
    <row r="76" ht="25.5" customHeight="1" x14ac:dyDescent="0.25"/>
    <row r="77" ht="28.5" customHeight="1" x14ac:dyDescent="0.25"/>
    <row r="78" ht="28.5" customHeight="1" x14ac:dyDescent="0.25"/>
  </sheetData>
  <mergeCells count="2">
    <mergeCell ref="A15:F15"/>
    <mergeCell ref="A29:C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showGridLines="0" workbookViewId="0"/>
  </sheetViews>
  <sheetFormatPr defaultRowHeight="15" x14ac:dyDescent="0.25"/>
  <cols>
    <col min="1" max="1" width="49.7109375" customWidth="1"/>
    <col min="2" max="2" width="14.85546875" customWidth="1"/>
    <col min="3" max="3" width="12" customWidth="1"/>
    <col min="4" max="4" width="11.28515625" customWidth="1"/>
    <col min="5" max="5" width="10" customWidth="1"/>
    <col min="6" max="6" width="13.140625" customWidth="1"/>
    <col min="7" max="7" width="10.7109375" customWidth="1"/>
  </cols>
  <sheetData>
    <row r="1" spans="1:8" ht="232.5" customHeight="1" x14ac:dyDescent="0.25">
      <c r="A1" s="8"/>
      <c r="B1" s="8"/>
      <c r="C1" s="8"/>
      <c r="D1" s="8"/>
      <c r="E1" s="8"/>
      <c r="F1" s="8"/>
      <c r="G1" s="8"/>
      <c r="H1" s="8"/>
    </row>
    <row r="2" spans="1:8" ht="18.75" x14ac:dyDescent="0.25">
      <c r="A2" s="41" t="s">
        <v>60</v>
      </c>
      <c r="B2" s="41"/>
      <c r="C2" s="42">
        <f>'1. Baseline Inputs'!B17</f>
        <v>0.1</v>
      </c>
      <c r="D2" s="125" t="s">
        <v>72</v>
      </c>
      <c r="E2" s="12"/>
      <c r="F2" s="12"/>
      <c r="G2" s="8"/>
      <c r="H2" s="8"/>
    </row>
    <row r="3" spans="1:8" x14ac:dyDescent="0.25">
      <c r="A3" s="12"/>
      <c r="B3" s="12"/>
      <c r="C3" s="12"/>
      <c r="D3" s="12"/>
      <c r="E3" s="12"/>
      <c r="F3" s="12"/>
      <c r="G3" s="8"/>
      <c r="H3" s="8"/>
    </row>
    <row r="4" spans="1:8" ht="15.75" x14ac:dyDescent="0.25">
      <c r="A4" s="14" t="s">
        <v>61</v>
      </c>
      <c r="B4" s="15"/>
      <c r="C4" s="15"/>
      <c r="D4" s="15"/>
      <c r="E4" s="15"/>
      <c r="F4" s="15"/>
      <c r="G4" s="15"/>
    </row>
    <row r="5" spans="1:8" ht="47.25" customHeight="1" x14ac:dyDescent="0.25">
      <c r="A5" s="16"/>
      <c r="B5" s="17" t="s">
        <v>16</v>
      </c>
      <c r="C5" s="17" t="s">
        <v>17</v>
      </c>
      <c r="D5" s="17" t="s">
        <v>18</v>
      </c>
      <c r="E5" s="17" t="s">
        <v>19</v>
      </c>
      <c r="F5" s="17" t="s">
        <v>20</v>
      </c>
      <c r="G5" s="18" t="s">
        <v>3</v>
      </c>
      <c r="H5" s="6"/>
    </row>
    <row r="6" spans="1:8" ht="15.75" x14ac:dyDescent="0.25">
      <c r="A6" s="129" t="s">
        <v>8</v>
      </c>
      <c r="B6" s="129"/>
      <c r="C6" s="129"/>
      <c r="D6" s="129"/>
      <c r="E6" s="129"/>
      <c r="F6" s="129"/>
      <c r="G6" s="129"/>
      <c r="H6" s="6"/>
    </row>
    <row r="7" spans="1:8" ht="31.5" x14ac:dyDescent="0.25">
      <c r="A7" s="19" t="s">
        <v>57</v>
      </c>
      <c r="B7" s="20">
        <f>'1. Baseline Inputs'!B4*'1. Baseline Inputs'!B10*'1. Baseline Inputs'!$B21</f>
        <v>15470.000000000002</v>
      </c>
      <c r="C7" s="21"/>
      <c r="D7" s="21"/>
      <c r="E7" s="21"/>
      <c r="F7" s="21"/>
      <c r="G7" s="22"/>
    </row>
    <row r="8" spans="1:8" ht="31.5" x14ac:dyDescent="0.25">
      <c r="A8" s="23" t="s">
        <v>34</v>
      </c>
      <c r="B8" s="20">
        <f>B7*'1. Baseline Inputs'!$B11*'1. Baseline Inputs'!B13</f>
        <v>2939.3</v>
      </c>
      <c r="C8" s="21"/>
      <c r="D8" s="21"/>
      <c r="E8" s="21"/>
      <c r="F8" s="21"/>
      <c r="G8" s="24"/>
    </row>
    <row r="9" spans="1:8" ht="15.75" x14ac:dyDescent="0.25">
      <c r="A9" s="25" t="s">
        <v>35</v>
      </c>
      <c r="B9" s="26">
        <f>'1. Baseline Inputs'!$C21*'1. Baseline Inputs'!B14</f>
        <v>789.32999999999993</v>
      </c>
      <c r="C9" s="27"/>
      <c r="D9" s="27"/>
      <c r="E9" s="27"/>
      <c r="F9" s="27"/>
      <c r="G9" s="24"/>
    </row>
    <row r="10" spans="1:8" ht="15.75" x14ac:dyDescent="0.25">
      <c r="A10" s="28" t="s">
        <v>36</v>
      </c>
      <c r="B10" s="29">
        <f>B9/'1. Baseline Inputs'!B5</f>
        <v>0.49210099750623437</v>
      </c>
      <c r="C10" s="30"/>
      <c r="D10" s="30"/>
      <c r="E10" s="30"/>
      <c r="F10" s="30"/>
      <c r="G10" s="24"/>
    </row>
    <row r="11" spans="1:8" ht="15.75" x14ac:dyDescent="0.25">
      <c r="A11" s="31" t="s">
        <v>37</v>
      </c>
      <c r="B11" s="32">
        <f>IF(B10&gt;Che_Threshold,B8/'1. Baseline Inputs'!B4,0)</f>
        <v>3.4580000000000001E-3</v>
      </c>
      <c r="C11" s="33"/>
      <c r="D11" s="33"/>
      <c r="E11" s="33"/>
      <c r="F11" s="33"/>
      <c r="G11" s="34"/>
      <c r="H11" s="7"/>
    </row>
    <row r="12" spans="1:8" ht="15.75" x14ac:dyDescent="0.25">
      <c r="A12" s="130" t="s">
        <v>21</v>
      </c>
      <c r="B12" s="130"/>
      <c r="C12" s="130"/>
      <c r="D12" s="130"/>
      <c r="E12" s="130"/>
      <c r="F12" s="130"/>
      <c r="G12" s="130"/>
      <c r="H12" s="7"/>
    </row>
    <row r="13" spans="1:8" ht="15.75" x14ac:dyDescent="0.25">
      <c r="A13" s="35" t="s">
        <v>43</v>
      </c>
      <c r="B13" s="20">
        <f>'1. Baseline Inputs'!B4*'1. Baseline Inputs'!B10*'1. Baseline Inputs'!$B22</f>
        <v>32130.000000000007</v>
      </c>
      <c r="C13" s="20">
        <f>'1. Baseline Inputs'!C4*'1. Baseline Inputs'!C10*'1. Baseline Inputs'!$B22</f>
        <v>32130.000000000007</v>
      </c>
      <c r="D13" s="20">
        <f>'1. Baseline Inputs'!D4*'1. Baseline Inputs'!D10*'1. Baseline Inputs'!$B22</f>
        <v>30982.500000000007</v>
      </c>
      <c r="E13" s="20">
        <f>'1. Baseline Inputs'!E4*'1. Baseline Inputs'!E10*'1. Baseline Inputs'!$B22</f>
        <v>28687.500000000004</v>
      </c>
      <c r="F13" s="20">
        <f>'1. Baseline Inputs'!F4*'1. Baseline Inputs'!F10*'1. Baseline Inputs'!$B22</f>
        <v>25245</v>
      </c>
      <c r="G13" s="36">
        <f>SUM(B13:F13)</f>
        <v>149175.00000000003</v>
      </c>
    </row>
    <row r="14" spans="1:8" ht="31.5" x14ac:dyDescent="0.25">
      <c r="A14" s="23" t="s">
        <v>34</v>
      </c>
      <c r="B14" s="20">
        <f>B13*'1. Baseline Inputs'!B13*'1. Baseline Inputs'!B11</f>
        <v>6104.7000000000016</v>
      </c>
      <c r="C14" s="20">
        <f>C13*'1. Baseline Inputs'!C13*'1. Baseline Inputs'!C11</f>
        <v>6104.7000000000016</v>
      </c>
      <c r="D14" s="20">
        <f>D13*'1. Baseline Inputs'!D13*'1. Baseline Inputs'!D11</f>
        <v>6196.5000000000018</v>
      </c>
      <c r="E14" s="20">
        <f>E13*'1. Baseline Inputs'!E13*'1. Baseline Inputs'!E11</f>
        <v>5794.8750000000009</v>
      </c>
      <c r="F14" s="20">
        <f>F13*'1. Baseline Inputs'!F13*'1. Baseline Inputs'!F11</f>
        <v>5452.920000000001</v>
      </c>
      <c r="G14" s="37"/>
    </row>
    <row r="15" spans="1:8" ht="15.75" x14ac:dyDescent="0.25">
      <c r="A15" s="25" t="s">
        <v>35</v>
      </c>
      <c r="B15" s="26">
        <f>'1. Baseline Inputs'!$C22*'1. Baseline Inputs'!B14</f>
        <v>1848.4099999999999</v>
      </c>
      <c r="C15" s="26">
        <f>'1. Baseline Inputs'!$C22*'1. Baseline Inputs'!C14</f>
        <v>1558.8999999999999</v>
      </c>
      <c r="D15" s="26">
        <f>'1. Baseline Inputs'!$C22*'1. Baseline Inputs'!D14</f>
        <v>1336.2</v>
      </c>
      <c r="E15" s="26">
        <f>'1. Baseline Inputs'!$C22*'1. Baseline Inputs'!E14</f>
        <v>1091.23</v>
      </c>
      <c r="F15" s="26">
        <f>'1. Baseline Inputs'!$C22*'1. Baseline Inputs'!F14</f>
        <v>779.44999999999993</v>
      </c>
      <c r="G15" s="37"/>
    </row>
    <row r="16" spans="1:8" ht="15.75" x14ac:dyDescent="0.25">
      <c r="A16" s="28" t="s">
        <v>36</v>
      </c>
      <c r="B16" s="29">
        <f>B15/'1. Baseline Inputs'!B5</f>
        <v>1.1523753117206981</v>
      </c>
      <c r="C16" s="29">
        <f>C15/'1. Baseline Inputs'!C5</f>
        <v>0.60212437234453453</v>
      </c>
      <c r="D16" s="29">
        <f>D15/'1. Baseline Inputs'!D5</f>
        <v>0.37565364070846219</v>
      </c>
      <c r="E16" s="29">
        <f>E15/'1. Baseline Inputs'!E5</f>
        <v>0.22076269471980578</v>
      </c>
      <c r="F16" s="29">
        <f>F15/'1. Baseline Inputs'!F5</f>
        <v>8.3551291671133024E-2</v>
      </c>
      <c r="G16" s="37"/>
    </row>
    <row r="17" spans="1:8" ht="15.75" x14ac:dyDescent="0.25">
      <c r="A17" s="31" t="s">
        <v>37</v>
      </c>
      <c r="B17" s="32">
        <f>IF(B16&gt;Che_Threshold,B14/'1. Baseline Inputs'!B4,0)</f>
        <v>7.1820000000000018E-3</v>
      </c>
      <c r="C17" s="32">
        <f>IF(C16&gt;Che_Threshold,C14/'1. Baseline Inputs'!C4,0)</f>
        <v>7.1820000000000018E-3</v>
      </c>
      <c r="D17" s="32">
        <f>IF(D16&gt;Che_Threshold,D14/'1. Baseline Inputs'!D4,0)</f>
        <v>7.2900000000000022E-3</v>
      </c>
      <c r="E17" s="32">
        <f>IF(E16&gt;Che_Threshold,E14/'1. Baseline Inputs'!E4,0)</f>
        <v>6.8175000000000006E-3</v>
      </c>
      <c r="F17" s="32">
        <f>IF(F16&gt;Che_Threshold,F14/'1. Baseline Inputs'!F4,0)</f>
        <v>0</v>
      </c>
      <c r="G17" s="38">
        <f>SUM(B17:F17)</f>
        <v>2.8471500000000007E-2</v>
      </c>
      <c r="H17" s="7"/>
    </row>
    <row r="18" spans="1:8" ht="15.75" x14ac:dyDescent="0.25">
      <c r="A18" s="128" t="s">
        <v>9</v>
      </c>
      <c r="B18" s="128"/>
      <c r="C18" s="128"/>
      <c r="D18" s="128"/>
      <c r="E18" s="128"/>
      <c r="F18" s="128"/>
      <c r="G18" s="128"/>
      <c r="H18" s="7"/>
    </row>
    <row r="19" spans="1:8" ht="15.75" x14ac:dyDescent="0.25">
      <c r="A19" s="35" t="s">
        <v>43</v>
      </c>
      <c r="B19" s="20">
        <f>'1. Baseline Inputs'!B4*'1. Baseline Inputs'!B10*'1. Baseline Inputs'!$B23</f>
        <v>45220.000000000007</v>
      </c>
      <c r="C19" s="20">
        <f>'1. Baseline Inputs'!C4*'1. Baseline Inputs'!C10*'1. Baseline Inputs'!$B23</f>
        <v>45220.000000000007</v>
      </c>
      <c r="D19" s="20">
        <f>'1. Baseline Inputs'!D4*'1. Baseline Inputs'!D10*'1. Baseline Inputs'!$B23</f>
        <v>43605.000000000007</v>
      </c>
      <c r="E19" s="20">
        <f>'1. Baseline Inputs'!E4*'1. Baseline Inputs'!E10*'1. Baseline Inputs'!$B23</f>
        <v>40375</v>
      </c>
      <c r="F19" s="20">
        <f>'1. Baseline Inputs'!F4*'1. Baseline Inputs'!F10*'1. Baseline Inputs'!$B23</f>
        <v>35530</v>
      </c>
      <c r="G19" s="36">
        <f>SUM(B19:F19)</f>
        <v>209950.00000000003</v>
      </c>
    </row>
    <row r="20" spans="1:8" ht="31.5" x14ac:dyDescent="0.25">
      <c r="A20" s="23" t="s">
        <v>34</v>
      </c>
      <c r="B20" s="20">
        <f>B19*'1. Baseline Inputs'!B13*'1. Baseline Inputs'!B11</f>
        <v>8591.8000000000011</v>
      </c>
      <c r="C20" s="20">
        <f>C19*'1. Baseline Inputs'!C13*'1. Baseline Inputs'!C11</f>
        <v>8591.8000000000011</v>
      </c>
      <c r="D20" s="20">
        <f>D19*'1. Baseline Inputs'!D13*'1. Baseline Inputs'!D11</f>
        <v>8721.0000000000018</v>
      </c>
      <c r="E20" s="20">
        <f>E19*'1. Baseline Inputs'!E13*'1. Baseline Inputs'!E11</f>
        <v>8155.75</v>
      </c>
      <c r="F20" s="20">
        <f>F19*'1. Baseline Inputs'!F13*'1. Baseline Inputs'!F11</f>
        <v>7674.4800000000005</v>
      </c>
      <c r="G20" s="37"/>
    </row>
    <row r="21" spans="1:8" ht="15.75" x14ac:dyDescent="0.25">
      <c r="A21" s="25" t="s">
        <v>35</v>
      </c>
      <c r="B21" s="26">
        <f>'1. Baseline Inputs'!$C23*'1. Baseline Inputs'!B14</f>
        <v>789.32999999999993</v>
      </c>
      <c r="C21" s="26">
        <f>'1. Baseline Inputs'!$C23*'1. Baseline Inputs'!C14</f>
        <v>665.69999999999993</v>
      </c>
      <c r="D21" s="26">
        <f>'1. Baseline Inputs'!$C23*'1. Baseline Inputs'!D14</f>
        <v>570.6</v>
      </c>
      <c r="E21" s="26">
        <f>'1. Baseline Inputs'!$C23*'1. Baseline Inputs'!E14</f>
        <v>465.99</v>
      </c>
      <c r="F21" s="26">
        <f>'1. Baseline Inputs'!$C23*'1. Baseline Inputs'!F14</f>
        <v>332.84999999999997</v>
      </c>
      <c r="G21" s="37"/>
    </row>
    <row r="22" spans="1:8" ht="15.75" x14ac:dyDescent="0.25">
      <c r="A22" s="28" t="s">
        <v>36</v>
      </c>
      <c r="B22" s="29">
        <f>B21/'1. Baseline Inputs'!B5</f>
        <v>0.49210099750623437</v>
      </c>
      <c r="C22" s="29">
        <f>C21/'1. Baseline Inputs'!C5</f>
        <v>0.25712630359212046</v>
      </c>
      <c r="D22" s="29">
        <f>D21/'1. Baseline Inputs'!D5</f>
        <v>0.16041608096710711</v>
      </c>
      <c r="E22" s="29">
        <f>E21/'1. Baseline Inputs'!E5</f>
        <v>9.4272708881246212E-2</v>
      </c>
      <c r="F22" s="29">
        <f>F21/'1. Baseline Inputs'!F5</f>
        <v>3.567906528030871E-2</v>
      </c>
      <c r="G22" s="37"/>
    </row>
    <row r="23" spans="1:8" ht="15.75" x14ac:dyDescent="0.25">
      <c r="A23" s="31" t="s">
        <v>37</v>
      </c>
      <c r="B23" s="32">
        <f>IF(B22&gt;Che_Threshold,B20/'1. Baseline Inputs'!B4,0)</f>
        <v>1.0108000000000001E-2</v>
      </c>
      <c r="C23" s="32">
        <f>IF(C22&gt;Che_Threshold,C20/'1. Baseline Inputs'!C4,0)</f>
        <v>1.0108000000000001E-2</v>
      </c>
      <c r="D23" s="32">
        <f>IF(D22&gt;Che_Threshold,D20/'1. Baseline Inputs'!D4,0)</f>
        <v>1.0260000000000002E-2</v>
      </c>
      <c r="E23" s="32">
        <f>IF(E22&gt;Che_Threshold,E20/'1. Baseline Inputs'!E4,0)</f>
        <v>0</v>
      </c>
      <c r="F23" s="32">
        <f>IF(F22&gt;Che_Threshold,F20/'1. Baseline Inputs'!F4,0)</f>
        <v>0</v>
      </c>
      <c r="G23" s="38">
        <f>SUM(B23:F23)</f>
        <v>3.0476000000000003E-2</v>
      </c>
      <c r="H23" s="7"/>
    </row>
    <row r="24" spans="1:8" ht="15.75" x14ac:dyDescent="0.25">
      <c r="A24" s="128" t="s">
        <v>10</v>
      </c>
      <c r="B24" s="128"/>
      <c r="C24" s="128"/>
      <c r="D24" s="128"/>
      <c r="E24" s="128"/>
      <c r="F24" s="128"/>
      <c r="G24" s="128"/>
      <c r="H24" s="7"/>
    </row>
    <row r="25" spans="1:8" ht="15.75" x14ac:dyDescent="0.25">
      <c r="A25" s="35" t="s">
        <v>43</v>
      </c>
      <c r="B25" s="20">
        <f>'1. Baseline Inputs'!B4*'1. Baseline Inputs'!B10*'1. Baseline Inputs'!$B24</f>
        <v>130900.00000000003</v>
      </c>
      <c r="C25" s="20">
        <f>'1. Baseline Inputs'!C4*'1. Baseline Inputs'!C10*'1. Baseline Inputs'!$B24</f>
        <v>130900.00000000003</v>
      </c>
      <c r="D25" s="20">
        <f>'1. Baseline Inputs'!D4*'1. Baseline Inputs'!D10*'1. Baseline Inputs'!$B24</f>
        <v>126225.00000000003</v>
      </c>
      <c r="E25" s="20">
        <f>'1. Baseline Inputs'!E4*'1. Baseline Inputs'!E10*'1. Baseline Inputs'!$B24</f>
        <v>116875.00000000001</v>
      </c>
      <c r="F25" s="20">
        <f>'1. Baseline Inputs'!F4*'1. Baseline Inputs'!F10*'1. Baseline Inputs'!$B24</f>
        <v>102850.00000000001</v>
      </c>
      <c r="G25" s="36">
        <f>SUM(B25:F25)</f>
        <v>607750.00000000012</v>
      </c>
    </row>
    <row r="26" spans="1:8" ht="31.5" x14ac:dyDescent="0.25">
      <c r="A26" s="23" t="s">
        <v>34</v>
      </c>
      <c r="B26" s="20">
        <f>B25*'1. Baseline Inputs'!B13*'1. Baseline Inputs'!B11</f>
        <v>24871.000000000007</v>
      </c>
      <c r="C26" s="20">
        <f>C25*'1. Baseline Inputs'!C13*'1. Baseline Inputs'!C11</f>
        <v>24871.000000000007</v>
      </c>
      <c r="D26" s="20">
        <f>D25*'1. Baseline Inputs'!D13*'1. Baseline Inputs'!D11</f>
        <v>25245.000000000007</v>
      </c>
      <c r="E26" s="20">
        <f>E25*'1. Baseline Inputs'!E13*'1. Baseline Inputs'!E11</f>
        <v>23608.750000000004</v>
      </c>
      <c r="F26" s="20">
        <f>F25*'1. Baseline Inputs'!F13*'1. Baseline Inputs'!F11</f>
        <v>22215.600000000006</v>
      </c>
      <c r="G26" s="37"/>
    </row>
    <row r="27" spans="1:8" ht="15.75" x14ac:dyDescent="0.25">
      <c r="A27" s="25" t="s">
        <v>35</v>
      </c>
      <c r="B27" s="26">
        <f>'1. Baseline Inputs'!$C24*'1. Baseline Inputs'!B14</f>
        <v>1216.78</v>
      </c>
      <c r="C27" s="26">
        <f>'1. Baseline Inputs'!$C24*'1. Baseline Inputs'!C14</f>
        <v>1026.2</v>
      </c>
      <c r="D27" s="26">
        <f>'1. Baseline Inputs'!$C24*'1. Baseline Inputs'!D14</f>
        <v>879.6</v>
      </c>
      <c r="E27" s="26">
        <f>'1. Baseline Inputs'!$C24*'1. Baseline Inputs'!E14</f>
        <v>718.34</v>
      </c>
      <c r="F27" s="26">
        <f>'1. Baseline Inputs'!$C24*'1. Baseline Inputs'!F14</f>
        <v>513.1</v>
      </c>
      <c r="G27" s="37"/>
    </row>
    <row r="28" spans="1:8" ht="15.75" x14ac:dyDescent="0.25">
      <c r="A28" s="28" t="s">
        <v>36</v>
      </c>
      <c r="B28" s="29">
        <f>B27/'1. Baseline Inputs'!B5</f>
        <v>0.75859102244389021</v>
      </c>
      <c r="C28" s="29">
        <f>C27/'1. Baseline Inputs'!C5</f>
        <v>0.39636925453843186</v>
      </c>
      <c r="D28" s="29">
        <f>D27/'1. Baseline Inputs'!D5</f>
        <v>0.2472870396401462</v>
      </c>
      <c r="E28" s="29">
        <f>E27/'1. Baseline Inputs'!E5</f>
        <v>0.14532470159821972</v>
      </c>
      <c r="F28" s="29">
        <f>F27/'1. Baseline Inputs'!F5</f>
        <v>5.5000535963125742E-2</v>
      </c>
      <c r="G28" s="37"/>
    </row>
    <row r="29" spans="1:8" ht="15.75" x14ac:dyDescent="0.25">
      <c r="A29" s="31" t="s">
        <v>37</v>
      </c>
      <c r="B29" s="32">
        <f>IF(B28&gt;Che_Threshold,B26/'1. Baseline Inputs'!B4,0)</f>
        <v>2.9260000000000008E-2</v>
      </c>
      <c r="C29" s="32">
        <f>IF(C28&gt;Che_Threshold,C26/'1. Baseline Inputs'!C4,0)</f>
        <v>2.9260000000000008E-2</v>
      </c>
      <c r="D29" s="32">
        <f>IF(D28&gt;Che_Threshold,D26/'1. Baseline Inputs'!D4,0)</f>
        <v>2.9700000000000008E-2</v>
      </c>
      <c r="E29" s="32">
        <f>IF(E28&gt;Che_Threshold,E26/'1. Baseline Inputs'!E4,0)</f>
        <v>2.7775000000000005E-2</v>
      </c>
      <c r="F29" s="32">
        <f>IF(F28&gt;Che_Threshold,F26/'1. Baseline Inputs'!F4,0)</f>
        <v>0</v>
      </c>
      <c r="G29" s="38">
        <f>SUM(B29:F29)</f>
        <v>0.11599500000000003</v>
      </c>
      <c r="H29" s="7"/>
    </row>
    <row r="30" spans="1:8" ht="15.75" x14ac:dyDescent="0.25">
      <c r="A30" s="128" t="s">
        <v>54</v>
      </c>
      <c r="B30" s="128"/>
      <c r="C30" s="128"/>
      <c r="D30" s="128"/>
      <c r="E30" s="128"/>
      <c r="F30" s="128"/>
      <c r="G30" s="128"/>
      <c r="H30" s="7"/>
    </row>
    <row r="31" spans="1:8" ht="15.75" x14ac:dyDescent="0.25">
      <c r="A31" s="35" t="s">
        <v>43</v>
      </c>
      <c r="B31" s="20">
        <f>'1. Baseline Inputs'!B4*'1. Baseline Inputs'!B10*'1. Baseline Inputs'!$B25</f>
        <v>7140.0000000000009</v>
      </c>
      <c r="C31" s="20">
        <f>'1. Baseline Inputs'!C4*'1. Baseline Inputs'!C10*'1. Baseline Inputs'!$B25</f>
        <v>7140.0000000000009</v>
      </c>
      <c r="D31" s="20">
        <f>'1. Baseline Inputs'!D4*'1. Baseline Inputs'!D10*'1. Baseline Inputs'!$B25</f>
        <v>6885.0000000000009</v>
      </c>
      <c r="E31" s="20">
        <f>'1. Baseline Inputs'!E4*'1. Baseline Inputs'!E10*'1. Baseline Inputs'!$B25</f>
        <v>6375</v>
      </c>
      <c r="F31" s="20">
        <f>'1. Baseline Inputs'!F4*'1. Baseline Inputs'!F10*'1. Baseline Inputs'!$B25</f>
        <v>5610</v>
      </c>
      <c r="G31" s="36">
        <f>SUM(B31:F31)</f>
        <v>33150</v>
      </c>
    </row>
    <row r="32" spans="1:8" ht="31.5" x14ac:dyDescent="0.25">
      <c r="A32" s="23" t="s">
        <v>34</v>
      </c>
      <c r="B32" s="20">
        <f>B31*'1. Baseline Inputs'!B13*'1. Baseline Inputs'!B11</f>
        <v>1356.6000000000004</v>
      </c>
      <c r="C32" s="20">
        <f>C31*'1. Baseline Inputs'!C13*'1. Baseline Inputs'!C11</f>
        <v>1356.6000000000004</v>
      </c>
      <c r="D32" s="20">
        <f>D31*'1. Baseline Inputs'!D13*'1. Baseline Inputs'!D11</f>
        <v>1377.0000000000002</v>
      </c>
      <c r="E32" s="20">
        <f>E31*'1. Baseline Inputs'!E13*'1. Baseline Inputs'!E11</f>
        <v>1287.75</v>
      </c>
      <c r="F32" s="20">
        <f>F31*'1. Baseline Inputs'!F13*'1. Baseline Inputs'!F11</f>
        <v>1211.76</v>
      </c>
      <c r="G32" s="37"/>
    </row>
    <row r="33" spans="1:8" ht="15.75" x14ac:dyDescent="0.25">
      <c r="A33" s="25" t="s">
        <v>35</v>
      </c>
      <c r="B33" s="26">
        <f>'1. Baseline Inputs'!$C25*'1. Baseline Inputs'!B14</f>
        <v>1216.78</v>
      </c>
      <c r="C33" s="26">
        <f>'1. Baseline Inputs'!$C25*'1. Baseline Inputs'!C14</f>
        <v>1026.2</v>
      </c>
      <c r="D33" s="26">
        <f>'1. Baseline Inputs'!$C25*'1. Baseline Inputs'!D14</f>
        <v>879.6</v>
      </c>
      <c r="E33" s="26">
        <f>'1. Baseline Inputs'!$C25*'1. Baseline Inputs'!E14</f>
        <v>718.34</v>
      </c>
      <c r="F33" s="26">
        <f>'1. Baseline Inputs'!$C25*'1. Baseline Inputs'!F14</f>
        <v>513.1</v>
      </c>
      <c r="G33" s="37"/>
    </row>
    <row r="34" spans="1:8" ht="15.75" x14ac:dyDescent="0.25">
      <c r="A34" s="28" t="s">
        <v>36</v>
      </c>
      <c r="B34" s="29">
        <f>B33/'1. Baseline Inputs'!B5</f>
        <v>0.75859102244389021</v>
      </c>
      <c r="C34" s="29">
        <f>C33/'1. Baseline Inputs'!C5</f>
        <v>0.39636925453843186</v>
      </c>
      <c r="D34" s="29">
        <f>D33/'1. Baseline Inputs'!D5</f>
        <v>0.2472870396401462</v>
      </c>
      <c r="E34" s="29">
        <f>E33/'1. Baseline Inputs'!E5</f>
        <v>0.14532470159821972</v>
      </c>
      <c r="F34" s="29">
        <f>F33/'1. Baseline Inputs'!F5</f>
        <v>5.5000535963125742E-2</v>
      </c>
      <c r="G34" s="37"/>
    </row>
    <row r="35" spans="1:8" ht="15.75" x14ac:dyDescent="0.25">
      <c r="A35" s="31" t="s">
        <v>37</v>
      </c>
      <c r="B35" s="32">
        <f>IF(B34&gt;Che_Threshold,B32/'1. Baseline Inputs'!B4,0)</f>
        <v>1.5960000000000004E-3</v>
      </c>
      <c r="C35" s="32">
        <f>IF(C34&gt;Che_Threshold,C32/'1. Baseline Inputs'!C4,0)</f>
        <v>1.5960000000000004E-3</v>
      </c>
      <c r="D35" s="32">
        <f>IF(D34&gt;Che_Threshold,D32/'1. Baseline Inputs'!D4,0)</f>
        <v>1.6200000000000003E-3</v>
      </c>
      <c r="E35" s="32">
        <f>IF(E34&gt;Che_Threshold,E32/'1. Baseline Inputs'!E4,0)</f>
        <v>1.5150000000000001E-3</v>
      </c>
      <c r="F35" s="32">
        <f>IF(F34&gt;Che_Threshold,F32/'1. Baseline Inputs'!F4,0)</f>
        <v>0</v>
      </c>
      <c r="G35" s="38">
        <f>SUM(B35:F35)</f>
        <v>6.327000000000001E-3</v>
      </c>
      <c r="H35" s="7"/>
    </row>
    <row r="36" spans="1:8" ht="15.75" x14ac:dyDescent="0.25">
      <c r="A36" s="128" t="s">
        <v>22</v>
      </c>
      <c r="B36" s="128"/>
      <c r="C36" s="128"/>
      <c r="D36" s="128"/>
      <c r="E36" s="128"/>
      <c r="F36" s="128"/>
      <c r="G36" s="128"/>
      <c r="H36" s="7"/>
    </row>
    <row r="37" spans="1:8" ht="15.75" x14ac:dyDescent="0.25">
      <c r="A37" s="35" t="s">
        <v>43</v>
      </c>
      <c r="B37" s="20">
        <f>'1. Baseline Inputs'!B4*'1. Baseline Inputs'!B10*'1. Baseline Inputs'!$B26</f>
        <v>7140.0000000000009</v>
      </c>
      <c r="C37" s="20">
        <f>'1. Baseline Inputs'!C4*'1. Baseline Inputs'!C10*'1. Baseline Inputs'!$B26</f>
        <v>7140.0000000000009</v>
      </c>
      <c r="D37" s="20">
        <f>'1. Baseline Inputs'!D4*'1. Baseline Inputs'!D10*'1. Baseline Inputs'!$B26</f>
        <v>6885.0000000000009</v>
      </c>
      <c r="E37" s="20">
        <f>'1. Baseline Inputs'!E4*'1. Baseline Inputs'!E10*'1. Baseline Inputs'!$B26</f>
        <v>6375</v>
      </c>
      <c r="F37" s="20">
        <f>'1. Baseline Inputs'!F4*'1. Baseline Inputs'!F10*'1. Baseline Inputs'!$B26</f>
        <v>5610</v>
      </c>
      <c r="G37" s="36">
        <f>SUM(B37:F37)</f>
        <v>33150</v>
      </c>
    </row>
    <row r="38" spans="1:8" ht="31.5" x14ac:dyDescent="0.25">
      <c r="A38" s="23" t="s">
        <v>34</v>
      </c>
      <c r="B38" s="20">
        <f>B37*'1. Baseline Inputs'!B13*'1. Baseline Inputs'!B11</f>
        <v>1356.6000000000004</v>
      </c>
      <c r="C38" s="20">
        <f>C37*'1. Baseline Inputs'!C13*'1. Baseline Inputs'!C11</f>
        <v>1356.6000000000004</v>
      </c>
      <c r="D38" s="20">
        <f>D37*'1. Baseline Inputs'!D13*'1. Baseline Inputs'!D11</f>
        <v>1377.0000000000002</v>
      </c>
      <c r="E38" s="20">
        <f>E37*'1. Baseline Inputs'!E13*'1. Baseline Inputs'!E11</f>
        <v>1287.75</v>
      </c>
      <c r="F38" s="20">
        <f>F37*'1. Baseline Inputs'!F13*'1. Baseline Inputs'!F11</f>
        <v>1211.76</v>
      </c>
      <c r="G38" s="37"/>
    </row>
    <row r="39" spans="1:8" ht="15.75" x14ac:dyDescent="0.25">
      <c r="A39" s="25" t="s">
        <v>35</v>
      </c>
      <c r="B39" s="26">
        <f>'1. Baseline Inputs'!$C26*'1. Baseline Inputs'!B14</f>
        <v>1848.4099999999999</v>
      </c>
      <c r="C39" s="26">
        <f>'1. Baseline Inputs'!$C26*'1. Baseline Inputs'!C14</f>
        <v>1558.8999999999999</v>
      </c>
      <c r="D39" s="26">
        <f>'1. Baseline Inputs'!$C26*'1. Baseline Inputs'!D14</f>
        <v>1336.2</v>
      </c>
      <c r="E39" s="26">
        <f>'1. Baseline Inputs'!$C26*'1. Baseline Inputs'!E14</f>
        <v>1091.23</v>
      </c>
      <c r="F39" s="26">
        <f>'1. Baseline Inputs'!$C26*'1. Baseline Inputs'!F14</f>
        <v>779.44999999999993</v>
      </c>
      <c r="G39" s="37"/>
    </row>
    <row r="40" spans="1:8" ht="15.75" x14ac:dyDescent="0.25">
      <c r="A40" s="28" t="s">
        <v>36</v>
      </c>
      <c r="B40" s="29">
        <f>B39/'1. Baseline Inputs'!B5</f>
        <v>1.1523753117206981</v>
      </c>
      <c r="C40" s="29">
        <f>C39/'1. Baseline Inputs'!C5</f>
        <v>0.60212437234453453</v>
      </c>
      <c r="D40" s="29">
        <f>D39/'1. Baseline Inputs'!D5</f>
        <v>0.37565364070846219</v>
      </c>
      <c r="E40" s="29">
        <f>E39/'1. Baseline Inputs'!E5</f>
        <v>0.22076269471980578</v>
      </c>
      <c r="F40" s="29">
        <f>F39/'1. Baseline Inputs'!F5</f>
        <v>8.3551291671133024E-2</v>
      </c>
      <c r="G40" s="37"/>
    </row>
    <row r="41" spans="1:8" ht="15.75" x14ac:dyDescent="0.25">
      <c r="A41" s="31" t="s">
        <v>37</v>
      </c>
      <c r="B41" s="32">
        <f>IF(B40&gt;Che_Threshold,B38/'1. Baseline Inputs'!B4,0)</f>
        <v>1.5960000000000004E-3</v>
      </c>
      <c r="C41" s="32">
        <f>IF(C40&gt;Che_Threshold,C38/'1. Baseline Inputs'!C4,0)</f>
        <v>1.5960000000000004E-3</v>
      </c>
      <c r="D41" s="32">
        <f>IF(D40&gt;Che_Threshold,D38/'1. Baseline Inputs'!D4,0)</f>
        <v>1.6200000000000003E-3</v>
      </c>
      <c r="E41" s="32">
        <f>IF(E40&gt;Che_Threshold,E38/'1. Baseline Inputs'!E4,0)</f>
        <v>1.5150000000000001E-3</v>
      </c>
      <c r="F41" s="32">
        <f>IF(F40&gt;Che_Threshold,F38/'1. Baseline Inputs'!F4,0)</f>
        <v>0</v>
      </c>
      <c r="G41" s="38">
        <f>SUM(B41:F41)</f>
        <v>6.327000000000001E-3</v>
      </c>
      <c r="H41" s="7"/>
    </row>
    <row r="42" spans="1:8" ht="15.75" x14ac:dyDescent="0.25">
      <c r="A42" s="129" t="s">
        <v>13</v>
      </c>
      <c r="B42" s="129"/>
      <c r="C42" s="129"/>
      <c r="D42" s="129"/>
      <c r="E42" s="129"/>
      <c r="F42" s="129"/>
      <c r="G42" s="129"/>
      <c r="H42" s="7"/>
    </row>
    <row r="43" spans="1:8" ht="15.75" x14ac:dyDescent="0.25">
      <c r="A43" s="39" t="s">
        <v>12</v>
      </c>
      <c r="B43" s="40"/>
      <c r="C43" s="40"/>
      <c r="D43" s="40"/>
      <c r="E43" s="40"/>
      <c r="F43" s="40"/>
      <c r="G43" s="40"/>
      <c r="H43" s="7"/>
    </row>
  </sheetData>
  <mergeCells count="7">
    <mergeCell ref="A24:G24"/>
    <mergeCell ref="A30:G30"/>
    <mergeCell ref="A36:G36"/>
    <mergeCell ref="A42:G42"/>
    <mergeCell ref="A6:G6"/>
    <mergeCell ref="A12:G12"/>
    <mergeCell ref="A18:G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showGridLines="0" workbookViewId="0">
      <selection activeCell="A2" sqref="A2"/>
    </sheetView>
  </sheetViews>
  <sheetFormatPr defaultRowHeight="15" x14ac:dyDescent="0.25"/>
  <cols>
    <col min="1" max="1" width="53.42578125" customWidth="1"/>
    <col min="2" max="2" width="14.85546875" customWidth="1"/>
    <col min="3" max="3" width="12" customWidth="1"/>
    <col min="4" max="4" width="11.28515625" customWidth="1"/>
    <col min="5" max="5" width="10" customWidth="1"/>
    <col min="6" max="6" width="13.140625" customWidth="1"/>
    <col min="7" max="7" width="10.7109375" customWidth="1"/>
  </cols>
  <sheetData>
    <row r="1" spans="1:8" ht="122.25" customHeight="1" x14ac:dyDescent="0.25">
      <c r="A1" s="8"/>
      <c r="B1" s="8"/>
      <c r="C1" s="8"/>
      <c r="D1" s="8"/>
      <c r="E1" s="8"/>
      <c r="F1" s="8"/>
      <c r="G1" s="8"/>
      <c r="H1" s="8"/>
    </row>
    <row r="2" spans="1:8" ht="18.75" x14ac:dyDescent="0.25">
      <c r="A2" s="41" t="s">
        <v>60</v>
      </c>
      <c r="B2" s="12"/>
      <c r="C2" s="42">
        <f>'1. Baseline Inputs'!B17</f>
        <v>0.1</v>
      </c>
      <c r="D2" s="125" t="s">
        <v>72</v>
      </c>
      <c r="E2" s="12"/>
      <c r="F2" s="12"/>
      <c r="G2" s="8"/>
      <c r="H2" s="8"/>
    </row>
    <row r="3" spans="1:8" x14ac:dyDescent="0.25">
      <c r="A3" s="12"/>
      <c r="B3" s="12"/>
      <c r="C3" s="12"/>
      <c r="D3" s="12"/>
      <c r="E3" s="12"/>
      <c r="F3" s="12"/>
      <c r="G3" s="8"/>
      <c r="H3" s="8"/>
    </row>
    <row r="4" spans="1:8" ht="15.75" x14ac:dyDescent="0.25">
      <c r="A4" s="14" t="s">
        <v>40</v>
      </c>
      <c r="B4" s="15"/>
      <c r="C4" s="15"/>
      <c r="D4" s="15"/>
      <c r="E4" s="15"/>
      <c r="F4" s="15"/>
      <c r="G4" s="15"/>
    </row>
    <row r="5" spans="1:8" ht="47.25" customHeight="1" x14ac:dyDescent="0.25">
      <c r="A5" s="16"/>
      <c r="B5" s="17" t="s">
        <v>16</v>
      </c>
      <c r="C5" s="17" t="s">
        <v>17</v>
      </c>
      <c r="D5" s="17" t="s">
        <v>18</v>
      </c>
      <c r="E5" s="17" t="s">
        <v>19</v>
      </c>
      <c r="F5" s="17" t="s">
        <v>20</v>
      </c>
      <c r="G5" s="18" t="s">
        <v>3</v>
      </c>
      <c r="H5" s="6"/>
    </row>
    <row r="6" spans="1:8" ht="15.75" x14ac:dyDescent="0.25">
      <c r="A6" s="129" t="s">
        <v>8</v>
      </c>
      <c r="B6" s="129"/>
      <c r="C6" s="129"/>
      <c r="D6" s="129"/>
      <c r="E6" s="129"/>
      <c r="F6" s="129"/>
      <c r="G6" s="129"/>
      <c r="H6" s="6"/>
    </row>
    <row r="7" spans="1:8" ht="31.5" x14ac:dyDescent="0.25">
      <c r="A7" s="19" t="s">
        <v>62</v>
      </c>
      <c r="B7" s="20">
        <f>'1. Baseline Inputs'!B4*(1-PREV_SMK_Q1)*'1. Baseline Inputs'!$B21</f>
        <v>39780</v>
      </c>
      <c r="C7" s="20">
        <f>'1. Baseline Inputs'!C4*(1-PREV_SMK_Q2)*'1. Baseline Inputs'!$B21</f>
        <v>39780</v>
      </c>
      <c r="D7" s="20">
        <f>'1. Baseline Inputs'!D4*(1-PREV_SMK_Q3)*'1. Baseline Inputs'!$B21</f>
        <v>40332.5</v>
      </c>
      <c r="E7" s="20">
        <f>'1. Baseline Inputs'!E4*(1-PREV_SMK_Q4)*'1. Baseline Inputs'!$B21</f>
        <v>41437.5</v>
      </c>
      <c r="F7" s="20">
        <f>'1. Baseline Inputs'!F4*(1-PREV_SMK_Q5)*'1. Baseline Inputs'!$B21</f>
        <v>43095</v>
      </c>
      <c r="G7" s="43">
        <f>SUM(B7:F7)</f>
        <v>204425</v>
      </c>
    </row>
    <row r="8" spans="1:8" ht="31.5" x14ac:dyDescent="0.25">
      <c r="A8" s="23" t="s">
        <v>63</v>
      </c>
      <c r="B8" s="20">
        <f>B7*'1. Baseline Inputs'!B12*'1. Baseline Inputs'!B13</f>
        <v>1889.55</v>
      </c>
      <c r="C8" s="20">
        <f>C7*'1. Baseline Inputs'!C12*'1. Baseline Inputs'!C13</f>
        <v>1889.55</v>
      </c>
      <c r="D8" s="20">
        <f>D7*'1. Baseline Inputs'!D12*'1. Baseline Inputs'!D13</f>
        <v>2016.625</v>
      </c>
      <c r="E8" s="20">
        <f>E7*'1. Baseline Inputs'!E12*'1. Baseline Inputs'!E13</f>
        <v>2092.59375</v>
      </c>
      <c r="F8" s="20">
        <f>F7*'1. Baseline Inputs'!F12*'1. Baseline Inputs'!F13</f>
        <v>2327.13</v>
      </c>
      <c r="G8" s="44"/>
    </row>
    <row r="9" spans="1:8" ht="15.75" x14ac:dyDescent="0.25">
      <c r="A9" s="25" t="s">
        <v>35</v>
      </c>
      <c r="B9" s="26">
        <f>'1. Baseline Inputs'!$C21*'1. Baseline Inputs'!B14</f>
        <v>789.32999999999993</v>
      </c>
      <c r="C9" s="26">
        <f>'1. Baseline Inputs'!$C21*'1. Baseline Inputs'!C14</f>
        <v>665.69999999999993</v>
      </c>
      <c r="D9" s="26">
        <f>'1. Baseline Inputs'!$C21*'1. Baseline Inputs'!D14</f>
        <v>570.6</v>
      </c>
      <c r="E9" s="26">
        <f>'1. Baseline Inputs'!$C21*'1. Baseline Inputs'!E14</f>
        <v>465.99</v>
      </c>
      <c r="F9" s="26">
        <f>'1. Baseline Inputs'!$C21*'1. Baseline Inputs'!F14</f>
        <v>332.84999999999997</v>
      </c>
      <c r="G9" s="44"/>
    </row>
    <row r="10" spans="1:8" ht="15.75" x14ac:dyDescent="0.25">
      <c r="A10" s="28" t="s">
        <v>36</v>
      </c>
      <c r="B10" s="29">
        <f>B9/'1. Baseline Inputs'!B5</f>
        <v>0.49210099750623437</v>
      </c>
      <c r="C10" s="29">
        <f>C9/'1. Baseline Inputs'!C5</f>
        <v>0.25712630359212046</v>
      </c>
      <c r="D10" s="29">
        <f>D9/'1. Baseline Inputs'!D5</f>
        <v>0.16041608096710711</v>
      </c>
      <c r="E10" s="29">
        <f>E9/'1. Baseline Inputs'!E5</f>
        <v>9.4272708881246212E-2</v>
      </c>
      <c r="F10" s="29">
        <f>F9/'1. Baseline Inputs'!F5</f>
        <v>3.567906528030871E-2</v>
      </c>
      <c r="G10" s="44"/>
    </row>
    <row r="11" spans="1:8" ht="15.75" x14ac:dyDescent="0.25">
      <c r="A11" s="31" t="s">
        <v>37</v>
      </c>
      <c r="B11" s="32">
        <f>IF(B10&gt;Che_Threshold,B8/'1. Baseline Inputs'!B4,0)</f>
        <v>2.2230000000000001E-3</v>
      </c>
      <c r="C11" s="32">
        <f>IF(C10&gt;Che_Threshold,C8/'1. Baseline Inputs'!C4,0)</f>
        <v>2.2230000000000001E-3</v>
      </c>
      <c r="D11" s="32">
        <f>IF(D10&gt;Che_Threshold,D8/'1. Baseline Inputs'!D4,0)</f>
        <v>2.3725E-3</v>
      </c>
      <c r="E11" s="32">
        <f>IF(E10&gt;Che_Threshold,E8/'1. Baseline Inputs'!E4,0)</f>
        <v>0</v>
      </c>
      <c r="F11" s="32">
        <f>IF(F10&gt;Che_Threshold,F8/'1. Baseline Inputs'!F4,0)</f>
        <v>0</v>
      </c>
      <c r="G11" s="45">
        <f>SUM(B11:F11)</f>
        <v>6.8184999999999999E-3</v>
      </c>
      <c r="H11" s="7"/>
    </row>
    <row r="12" spans="1:8" ht="15.75" x14ac:dyDescent="0.25">
      <c r="A12" s="130" t="s">
        <v>21</v>
      </c>
      <c r="B12" s="130"/>
      <c r="C12" s="130"/>
      <c r="D12" s="130"/>
      <c r="E12" s="130"/>
      <c r="F12" s="130"/>
      <c r="G12" s="130"/>
      <c r="H12" s="7"/>
    </row>
    <row r="13" spans="1:8" ht="15.75" x14ac:dyDescent="0.25">
      <c r="A13" s="35" t="s">
        <v>43</v>
      </c>
      <c r="B13" s="20">
        <f>'1. Baseline Inputs'!B4*(1-PREV_SMK_Q1)*'1. Baseline Inputs'!$B22</f>
        <v>82620</v>
      </c>
      <c r="C13" s="20">
        <f>'1. Baseline Inputs'!C4*(1-PREV_SMK_Q2)*'1. Baseline Inputs'!$B22</f>
        <v>82620</v>
      </c>
      <c r="D13" s="20">
        <f>'1. Baseline Inputs'!D4*(1-PREV_SMK_Q3)*'1. Baseline Inputs'!$B22</f>
        <v>83767.5</v>
      </c>
      <c r="E13" s="20">
        <f>'1. Baseline Inputs'!E4*(1-PREV_SMK_Q4)*'1. Baseline Inputs'!$B22</f>
        <v>86062.5</v>
      </c>
      <c r="F13" s="20">
        <f>'1. Baseline Inputs'!F4*(1-PREV_SMK_Q5)*'1. Baseline Inputs'!$B22</f>
        <v>89505</v>
      </c>
      <c r="G13" s="36">
        <f>SUM(B13:F13)</f>
        <v>424575</v>
      </c>
    </row>
    <row r="14" spans="1:8" ht="31.5" x14ac:dyDescent="0.25">
      <c r="A14" s="23" t="s">
        <v>34</v>
      </c>
      <c r="B14" s="20">
        <f>B13*'1. Baseline Inputs'!B12*'1. Baseline Inputs'!B13</f>
        <v>3924.45</v>
      </c>
      <c r="C14" s="20">
        <f>C13*'1. Baseline Inputs'!C12*'1. Baseline Inputs'!C13</f>
        <v>3924.45</v>
      </c>
      <c r="D14" s="20">
        <f>D13*'1. Baseline Inputs'!D12*'1. Baseline Inputs'!D13</f>
        <v>4188.375</v>
      </c>
      <c r="E14" s="20">
        <f>E13*'1. Baseline Inputs'!E12*'1. Baseline Inputs'!E13</f>
        <v>4346.15625</v>
      </c>
      <c r="F14" s="20">
        <f>F13*'1. Baseline Inputs'!F12*'1. Baseline Inputs'!F13</f>
        <v>4833.2700000000004</v>
      </c>
      <c r="G14" s="37"/>
    </row>
    <row r="15" spans="1:8" ht="15.75" x14ac:dyDescent="0.25">
      <c r="A15" s="25" t="s">
        <v>35</v>
      </c>
      <c r="B15" s="26">
        <f>'1. Baseline Inputs'!$C22*'1. Baseline Inputs'!B14</f>
        <v>1848.4099999999999</v>
      </c>
      <c r="C15" s="26">
        <f>'1. Baseline Inputs'!$C22*'1. Baseline Inputs'!C14</f>
        <v>1558.8999999999999</v>
      </c>
      <c r="D15" s="26">
        <f>'1. Baseline Inputs'!$C22*'1. Baseline Inputs'!D14</f>
        <v>1336.2</v>
      </c>
      <c r="E15" s="26">
        <f>'1. Baseline Inputs'!$C22*'1. Baseline Inputs'!E14</f>
        <v>1091.23</v>
      </c>
      <c r="F15" s="26">
        <f>'1. Baseline Inputs'!$C22*'1. Baseline Inputs'!F14</f>
        <v>779.44999999999993</v>
      </c>
      <c r="G15" s="37"/>
    </row>
    <row r="16" spans="1:8" ht="15.75" x14ac:dyDescent="0.25">
      <c r="A16" s="28" t="s">
        <v>36</v>
      </c>
      <c r="B16" s="29">
        <f>B15/'1. Baseline Inputs'!B5</f>
        <v>1.1523753117206981</v>
      </c>
      <c r="C16" s="29">
        <f>C15/'1. Baseline Inputs'!C5</f>
        <v>0.60212437234453453</v>
      </c>
      <c r="D16" s="29">
        <f>D15/'1. Baseline Inputs'!D5</f>
        <v>0.37565364070846219</v>
      </c>
      <c r="E16" s="29">
        <f>E15/'1. Baseline Inputs'!E5</f>
        <v>0.22076269471980578</v>
      </c>
      <c r="F16" s="29">
        <f>F15/'1. Baseline Inputs'!F5</f>
        <v>8.3551291671133024E-2</v>
      </c>
      <c r="G16" s="37"/>
    </row>
    <row r="17" spans="1:8" ht="15.75" x14ac:dyDescent="0.25">
      <c r="A17" s="31" t="s">
        <v>37</v>
      </c>
      <c r="B17" s="32">
        <f>IF(B16&gt;Che_Threshold,B14/'1. Baseline Inputs'!B4,0)</f>
        <v>4.6169999999999996E-3</v>
      </c>
      <c r="C17" s="32">
        <f>IF(C16&gt;Che_Threshold,C14/'1. Baseline Inputs'!C4,0)</f>
        <v>4.6169999999999996E-3</v>
      </c>
      <c r="D17" s="32">
        <f>IF(D16&gt;Che_Threshold,D14/'1. Baseline Inputs'!D4,0)</f>
        <v>4.9274999999999996E-3</v>
      </c>
      <c r="E17" s="32">
        <f>IF(E16&gt;Che_Threshold,E14/'1. Baseline Inputs'!E4,0)</f>
        <v>5.1131249999999996E-3</v>
      </c>
      <c r="F17" s="32">
        <f>IF(F16&gt;Che_Threshold,F14/'1. Baseline Inputs'!F4,0)</f>
        <v>0</v>
      </c>
      <c r="G17" s="38">
        <f>SUM(B17:F17)</f>
        <v>1.9274624999999997E-2</v>
      </c>
      <c r="H17" s="7"/>
    </row>
    <row r="18" spans="1:8" ht="15.75" x14ac:dyDescent="0.25">
      <c r="A18" s="128" t="s">
        <v>9</v>
      </c>
      <c r="B18" s="128"/>
      <c r="C18" s="128"/>
      <c r="D18" s="128"/>
      <c r="E18" s="128"/>
      <c r="F18" s="128"/>
      <c r="G18" s="128"/>
      <c r="H18" s="7"/>
    </row>
    <row r="19" spans="1:8" ht="15.75" x14ac:dyDescent="0.25">
      <c r="A19" s="35" t="s">
        <v>43</v>
      </c>
      <c r="B19" s="20">
        <f>'1. Baseline Inputs'!B4*(1-PREV_SMK_Q1)*'1. Baseline Inputs'!$B23</f>
        <v>116280</v>
      </c>
      <c r="C19" s="20">
        <f>'1. Baseline Inputs'!C4*(1-PREV_SMK_Q2)*'1. Baseline Inputs'!$B23</f>
        <v>116280</v>
      </c>
      <c r="D19" s="20">
        <f>'1. Baseline Inputs'!D4*(1-PREV_SMK_Q3)*'1. Baseline Inputs'!$B23</f>
        <v>117895</v>
      </c>
      <c r="E19" s="20">
        <f>'1. Baseline Inputs'!E4*(1-PREV_SMK_Q4)*'1. Baseline Inputs'!$B23</f>
        <v>121125</v>
      </c>
      <c r="F19" s="20">
        <f>'1. Baseline Inputs'!F4*(1-PREV_SMK_Q5)*'1. Baseline Inputs'!$B23</f>
        <v>125970</v>
      </c>
      <c r="G19" s="36">
        <f>SUM(B19:F19)</f>
        <v>597550</v>
      </c>
    </row>
    <row r="20" spans="1:8" ht="31.5" x14ac:dyDescent="0.25">
      <c r="A20" s="23" t="s">
        <v>34</v>
      </c>
      <c r="B20" s="20">
        <f>B19*'1. Baseline Inputs'!B12*'1. Baseline Inputs'!B13</f>
        <v>5523.3</v>
      </c>
      <c r="C20" s="20">
        <f>C19*'1. Baseline Inputs'!C12*'1. Baseline Inputs'!C13</f>
        <v>5523.3</v>
      </c>
      <c r="D20" s="20">
        <f>D19*'1. Baseline Inputs'!D12*'1. Baseline Inputs'!D13</f>
        <v>5894.75</v>
      </c>
      <c r="E20" s="20">
        <f>E19*'1. Baseline Inputs'!E12*'1. Baseline Inputs'!E13</f>
        <v>6116.8125</v>
      </c>
      <c r="F20" s="20">
        <f>F19*'1. Baseline Inputs'!F12*'1. Baseline Inputs'!F13</f>
        <v>6802.38</v>
      </c>
      <c r="G20" s="37"/>
    </row>
    <row r="21" spans="1:8" ht="15.75" x14ac:dyDescent="0.25">
      <c r="A21" s="25" t="s">
        <v>35</v>
      </c>
      <c r="B21" s="26">
        <f>'1. Baseline Inputs'!$C23*'1. Baseline Inputs'!B14</f>
        <v>789.32999999999993</v>
      </c>
      <c r="C21" s="26">
        <f>'1. Baseline Inputs'!$C23*'1. Baseline Inputs'!C14</f>
        <v>665.69999999999993</v>
      </c>
      <c r="D21" s="26">
        <f>'1. Baseline Inputs'!$C23*'1. Baseline Inputs'!D14</f>
        <v>570.6</v>
      </c>
      <c r="E21" s="26">
        <f>'1. Baseline Inputs'!$C23*'1. Baseline Inputs'!E14</f>
        <v>465.99</v>
      </c>
      <c r="F21" s="26">
        <f>'1. Baseline Inputs'!$C23*'1. Baseline Inputs'!F14</f>
        <v>332.84999999999997</v>
      </c>
      <c r="G21" s="37"/>
    </row>
    <row r="22" spans="1:8" ht="15.75" x14ac:dyDescent="0.25">
      <c r="A22" s="28" t="s">
        <v>36</v>
      </c>
      <c r="B22" s="29">
        <f>B21/'1. Baseline Inputs'!B5</f>
        <v>0.49210099750623437</v>
      </c>
      <c r="C22" s="29">
        <f>C21/'1. Baseline Inputs'!C5</f>
        <v>0.25712630359212046</v>
      </c>
      <c r="D22" s="29">
        <f>D21/'1. Baseline Inputs'!D5</f>
        <v>0.16041608096710711</v>
      </c>
      <c r="E22" s="29">
        <f>E21/'1. Baseline Inputs'!E5</f>
        <v>9.4272708881246212E-2</v>
      </c>
      <c r="F22" s="29">
        <f>F21/'1. Baseline Inputs'!F5</f>
        <v>3.567906528030871E-2</v>
      </c>
      <c r="G22" s="37"/>
    </row>
    <row r="23" spans="1:8" ht="15.75" x14ac:dyDescent="0.25">
      <c r="A23" s="31" t="s">
        <v>37</v>
      </c>
      <c r="B23" s="32">
        <f>IF(B22&gt;Che_Threshold,B20/'1. Baseline Inputs'!B4,0)</f>
        <v>6.4980000000000003E-3</v>
      </c>
      <c r="C23" s="32">
        <f>IF(C22&gt;Che_Threshold,C20/'1. Baseline Inputs'!C4,0)</f>
        <v>6.4980000000000003E-3</v>
      </c>
      <c r="D23" s="32">
        <f>IF(D22&gt;Che_Threshold,D20/'1. Baseline Inputs'!D4,0)</f>
        <v>6.9350000000000002E-3</v>
      </c>
      <c r="E23" s="32">
        <f>IF(E22&gt;Che_Threshold,E20/'1. Baseline Inputs'!E4,0)</f>
        <v>0</v>
      </c>
      <c r="F23" s="32">
        <f>IF(F22&gt;Che_Threshold,F20/'1. Baseline Inputs'!F4,0)</f>
        <v>0</v>
      </c>
      <c r="G23" s="38">
        <f>SUM(B23:F23)</f>
        <v>1.9931000000000001E-2</v>
      </c>
      <c r="H23" s="7"/>
    </row>
    <row r="24" spans="1:8" ht="15.75" x14ac:dyDescent="0.25">
      <c r="A24" s="128" t="s">
        <v>10</v>
      </c>
      <c r="B24" s="128"/>
      <c r="C24" s="128"/>
      <c r="D24" s="128"/>
      <c r="E24" s="128"/>
      <c r="F24" s="128"/>
      <c r="G24" s="128"/>
      <c r="H24" s="7"/>
    </row>
    <row r="25" spans="1:8" ht="15.75" x14ac:dyDescent="0.25">
      <c r="A25" s="35" t="s">
        <v>43</v>
      </c>
      <c r="B25" s="20">
        <f>'1. Baseline Inputs'!B4*(1-PREV_SMK_Q1)*'1. Baseline Inputs'!$B24</f>
        <v>336600</v>
      </c>
      <c r="C25" s="20">
        <f>'1. Baseline Inputs'!C4*(1-PREV_SMK_Q2)*'1. Baseline Inputs'!$B24</f>
        <v>336600</v>
      </c>
      <c r="D25" s="20">
        <f>'1. Baseline Inputs'!D4*(1-PREV_SMK_Q3)*'1. Baseline Inputs'!$B24</f>
        <v>341275</v>
      </c>
      <c r="E25" s="20">
        <f>'1. Baseline Inputs'!E4*(1-PREV_SMK_Q4)*'1. Baseline Inputs'!$B24</f>
        <v>350625</v>
      </c>
      <c r="F25" s="20">
        <f>'1. Baseline Inputs'!F4*(1-PREV_SMK_Q5)*'1. Baseline Inputs'!$B24</f>
        <v>364650.00000000006</v>
      </c>
      <c r="G25" s="36">
        <f>SUM(B25:F25)</f>
        <v>1729750</v>
      </c>
    </row>
    <row r="26" spans="1:8" ht="31.5" x14ac:dyDescent="0.25">
      <c r="A26" s="23" t="s">
        <v>34</v>
      </c>
      <c r="B26" s="20">
        <f>B25*'1. Baseline Inputs'!B12*'1. Baseline Inputs'!B13</f>
        <v>15988.5</v>
      </c>
      <c r="C26" s="20">
        <f>C25*'1. Baseline Inputs'!C12*'1. Baseline Inputs'!C13</f>
        <v>15988.5</v>
      </c>
      <c r="D26" s="20">
        <f>D25*'1. Baseline Inputs'!D12*'1. Baseline Inputs'!D13</f>
        <v>17063.75</v>
      </c>
      <c r="E26" s="20">
        <f>E25*'1. Baseline Inputs'!E12*'1. Baseline Inputs'!E13</f>
        <v>17706.5625</v>
      </c>
      <c r="F26" s="20">
        <f>F25*'1. Baseline Inputs'!F12*'1. Baseline Inputs'!F13</f>
        <v>19691.100000000006</v>
      </c>
      <c r="G26" s="37"/>
    </row>
    <row r="27" spans="1:8" ht="15.75" x14ac:dyDescent="0.25">
      <c r="A27" s="25" t="s">
        <v>35</v>
      </c>
      <c r="B27" s="26">
        <f>'1. Baseline Inputs'!$C24*'1. Baseline Inputs'!B14</f>
        <v>1216.78</v>
      </c>
      <c r="C27" s="26">
        <f>'1. Baseline Inputs'!$C24*'1. Baseline Inputs'!C14</f>
        <v>1026.2</v>
      </c>
      <c r="D27" s="26">
        <f>'1. Baseline Inputs'!$C24*'1. Baseline Inputs'!D14</f>
        <v>879.6</v>
      </c>
      <c r="E27" s="26">
        <f>'1. Baseline Inputs'!$C24*'1. Baseline Inputs'!E14</f>
        <v>718.34</v>
      </c>
      <c r="F27" s="26">
        <f>'1. Baseline Inputs'!$C24*'1. Baseline Inputs'!F14</f>
        <v>513.1</v>
      </c>
      <c r="G27" s="37"/>
    </row>
    <row r="28" spans="1:8" ht="15.75" x14ac:dyDescent="0.25">
      <c r="A28" s="28" t="s">
        <v>36</v>
      </c>
      <c r="B28" s="29">
        <f>B27/'1. Baseline Inputs'!B5</f>
        <v>0.75859102244389021</v>
      </c>
      <c r="C28" s="29">
        <f>C27/'1. Baseline Inputs'!C5</f>
        <v>0.39636925453843186</v>
      </c>
      <c r="D28" s="29">
        <f>D27/'1. Baseline Inputs'!D5</f>
        <v>0.2472870396401462</v>
      </c>
      <c r="E28" s="29">
        <f>E27/'1. Baseline Inputs'!E5</f>
        <v>0.14532470159821972</v>
      </c>
      <c r="F28" s="29">
        <f>F27/'1. Baseline Inputs'!F5</f>
        <v>5.5000535963125742E-2</v>
      </c>
      <c r="G28" s="37"/>
    </row>
    <row r="29" spans="1:8" ht="15.75" x14ac:dyDescent="0.25">
      <c r="A29" s="31" t="s">
        <v>37</v>
      </c>
      <c r="B29" s="32">
        <f>IF(B28&gt;Che_Threshold,B26/'1. Baseline Inputs'!B4,0)</f>
        <v>1.881E-2</v>
      </c>
      <c r="C29" s="32">
        <f>IF(C28&gt;Che_Threshold,C26/'1. Baseline Inputs'!C4,0)</f>
        <v>1.881E-2</v>
      </c>
      <c r="D29" s="32">
        <f>IF(D28&gt;Che_Threshold,D26/'1. Baseline Inputs'!D4,0)</f>
        <v>2.0074999999999999E-2</v>
      </c>
      <c r="E29" s="32">
        <f>IF(E28&gt;Che_Threshold,E26/'1. Baseline Inputs'!E4,0)</f>
        <v>2.0831249999999999E-2</v>
      </c>
      <c r="F29" s="32">
        <f>IF(F28&gt;Che_Threshold,F26/'1. Baseline Inputs'!F4,0)</f>
        <v>0</v>
      </c>
      <c r="G29" s="38">
        <f>SUM(B29:F29)</f>
        <v>7.8526249999999992E-2</v>
      </c>
      <c r="H29" s="7"/>
    </row>
    <row r="30" spans="1:8" ht="15.75" x14ac:dyDescent="0.25">
      <c r="A30" s="128" t="s">
        <v>54</v>
      </c>
      <c r="B30" s="128"/>
      <c r="C30" s="128"/>
      <c r="D30" s="128"/>
      <c r="E30" s="128"/>
      <c r="F30" s="128"/>
      <c r="G30" s="128"/>
      <c r="H30" s="7"/>
    </row>
    <row r="31" spans="1:8" ht="15.75" x14ac:dyDescent="0.25">
      <c r="A31" s="35" t="s">
        <v>43</v>
      </c>
      <c r="B31" s="20">
        <f>'1. Baseline Inputs'!B4*(1-PREV_SMK_Q1)*'1. Baseline Inputs'!$B25</f>
        <v>18360</v>
      </c>
      <c r="C31" s="20">
        <f>'1. Baseline Inputs'!C4*(1-PREV_SMK_Q2)*'1. Baseline Inputs'!$B25</f>
        <v>18360</v>
      </c>
      <c r="D31" s="20">
        <f>'1. Baseline Inputs'!D4*(1-PREV_SMK_Q3)*'1. Baseline Inputs'!$B25</f>
        <v>18615</v>
      </c>
      <c r="E31" s="20">
        <f>'1. Baseline Inputs'!E4*(1-PREV_SMK_Q4)*'1. Baseline Inputs'!$B25</f>
        <v>19125</v>
      </c>
      <c r="F31" s="20">
        <f>'1. Baseline Inputs'!F4*(1-PREV_SMK_Q5)*'1. Baseline Inputs'!$B25</f>
        <v>19890</v>
      </c>
      <c r="G31" s="36">
        <f>SUM(B31:F31)</f>
        <v>94350</v>
      </c>
    </row>
    <row r="32" spans="1:8" ht="31.5" x14ac:dyDescent="0.25">
      <c r="A32" s="23" t="s">
        <v>34</v>
      </c>
      <c r="B32" s="20">
        <f>B31*'1. Baseline Inputs'!B12*'1. Baseline Inputs'!B13</f>
        <v>872.09999999999991</v>
      </c>
      <c r="C32" s="20">
        <f>C31*'1. Baseline Inputs'!C12*'1. Baseline Inputs'!C13</f>
        <v>872.09999999999991</v>
      </c>
      <c r="D32" s="20">
        <f>D31*'1. Baseline Inputs'!D12*'1. Baseline Inputs'!D13</f>
        <v>930.75</v>
      </c>
      <c r="E32" s="20">
        <f>E31*'1. Baseline Inputs'!E12*'1. Baseline Inputs'!E13</f>
        <v>965.8125</v>
      </c>
      <c r="F32" s="20">
        <f>F31*'1. Baseline Inputs'!F12*'1. Baseline Inputs'!F13</f>
        <v>1074.0600000000002</v>
      </c>
      <c r="G32" s="37"/>
    </row>
    <row r="33" spans="1:8" ht="15.75" x14ac:dyDescent="0.25">
      <c r="A33" s="25" t="s">
        <v>35</v>
      </c>
      <c r="B33" s="26">
        <f>'1. Baseline Inputs'!$C25*'1. Baseline Inputs'!B14</f>
        <v>1216.78</v>
      </c>
      <c r="C33" s="26">
        <f>'1. Baseline Inputs'!$C25*'1. Baseline Inputs'!C14</f>
        <v>1026.2</v>
      </c>
      <c r="D33" s="26">
        <f>'1. Baseline Inputs'!$C25*'1. Baseline Inputs'!D14</f>
        <v>879.6</v>
      </c>
      <c r="E33" s="26">
        <f>'1. Baseline Inputs'!$C25*'1. Baseline Inputs'!E14</f>
        <v>718.34</v>
      </c>
      <c r="F33" s="26">
        <f>'1. Baseline Inputs'!$C25*'1. Baseline Inputs'!F14</f>
        <v>513.1</v>
      </c>
      <c r="G33" s="37"/>
    </row>
    <row r="34" spans="1:8" ht="15.75" x14ac:dyDescent="0.25">
      <c r="A34" s="28" t="s">
        <v>36</v>
      </c>
      <c r="B34" s="29">
        <f>B33/'1. Baseline Inputs'!B5</f>
        <v>0.75859102244389021</v>
      </c>
      <c r="C34" s="29">
        <f>C33/'1. Baseline Inputs'!C5</f>
        <v>0.39636925453843186</v>
      </c>
      <c r="D34" s="29">
        <f>D33/'1. Baseline Inputs'!D5</f>
        <v>0.2472870396401462</v>
      </c>
      <c r="E34" s="29">
        <f>E33/'1. Baseline Inputs'!E5</f>
        <v>0.14532470159821972</v>
      </c>
      <c r="F34" s="29">
        <f>F33/'1. Baseline Inputs'!F5</f>
        <v>5.5000535963125742E-2</v>
      </c>
      <c r="G34" s="37"/>
    </row>
    <row r="35" spans="1:8" ht="15.75" x14ac:dyDescent="0.25">
      <c r="A35" s="31" t="s">
        <v>37</v>
      </c>
      <c r="B35" s="32">
        <f>IF(B34&gt;Che_Threshold,B32/'1. Baseline Inputs'!B4,0)</f>
        <v>1.0259999999999998E-3</v>
      </c>
      <c r="C35" s="32">
        <f>IF(C34&gt;Che_Threshold,C32/'1. Baseline Inputs'!C4,0)</f>
        <v>1.0259999999999998E-3</v>
      </c>
      <c r="D35" s="32">
        <f>IF(D34&gt;Che_Threshold,D32/'1. Baseline Inputs'!D4,0)</f>
        <v>1.0950000000000001E-3</v>
      </c>
      <c r="E35" s="32">
        <f>IF(E34&gt;Che_Threshold,E32/'1. Baseline Inputs'!E4,0)</f>
        <v>1.1362500000000001E-3</v>
      </c>
      <c r="F35" s="32">
        <f>IF(F34&gt;Che_Threshold,F32/'1. Baseline Inputs'!F4,0)</f>
        <v>0</v>
      </c>
      <c r="G35" s="38">
        <f>SUM(B35:F35)</f>
        <v>4.2832499999999997E-3</v>
      </c>
      <c r="H35" s="7"/>
    </row>
    <row r="36" spans="1:8" ht="15.75" x14ac:dyDescent="0.25">
      <c r="A36" s="128" t="s">
        <v>22</v>
      </c>
      <c r="B36" s="128"/>
      <c r="C36" s="128"/>
      <c r="D36" s="128"/>
      <c r="E36" s="128"/>
      <c r="F36" s="128"/>
      <c r="G36" s="128"/>
      <c r="H36" s="7"/>
    </row>
    <row r="37" spans="1:8" ht="15.75" x14ac:dyDescent="0.25">
      <c r="A37" s="35" t="s">
        <v>43</v>
      </c>
      <c r="B37" s="20">
        <f>'1. Baseline Inputs'!B4*(1-PREV_SMK_Q1)*'1. Baseline Inputs'!$B26</f>
        <v>18360</v>
      </c>
      <c r="C37" s="20">
        <f>'1. Baseline Inputs'!C4*(1-PREV_SMK_Q2)*'1. Baseline Inputs'!$B26</f>
        <v>18360</v>
      </c>
      <c r="D37" s="20">
        <f>'1. Baseline Inputs'!D4*(1-PREV_SMK_Q3)*'1. Baseline Inputs'!$B26</f>
        <v>18615</v>
      </c>
      <c r="E37" s="20">
        <f>'1. Baseline Inputs'!E4*(1-PREV_SMK_Q4)*'1. Baseline Inputs'!$B26</f>
        <v>19125</v>
      </c>
      <c r="F37" s="20">
        <f>'1. Baseline Inputs'!F4*(1-PREV_SMK_Q5)*'1. Baseline Inputs'!$B26</f>
        <v>19890</v>
      </c>
      <c r="G37" s="36">
        <f>SUM(B37:F37)</f>
        <v>94350</v>
      </c>
    </row>
    <row r="38" spans="1:8" ht="31.5" x14ac:dyDescent="0.25">
      <c r="A38" s="23" t="s">
        <v>34</v>
      </c>
      <c r="B38" s="20">
        <f>B37*'1. Baseline Inputs'!B12*'1. Baseline Inputs'!B13</f>
        <v>872.09999999999991</v>
      </c>
      <c r="C38" s="20">
        <f>C37*'1. Baseline Inputs'!C12*'1. Baseline Inputs'!C13</f>
        <v>872.09999999999991</v>
      </c>
      <c r="D38" s="20">
        <f>D37*'1. Baseline Inputs'!D12*'1. Baseline Inputs'!D13</f>
        <v>930.75</v>
      </c>
      <c r="E38" s="20">
        <f>E37*'1. Baseline Inputs'!E12*'1. Baseline Inputs'!E13</f>
        <v>965.8125</v>
      </c>
      <c r="F38" s="20">
        <f>F37*'1. Baseline Inputs'!F12*'1. Baseline Inputs'!F13</f>
        <v>1074.0600000000002</v>
      </c>
      <c r="G38" s="37"/>
    </row>
    <row r="39" spans="1:8" ht="15.75" x14ac:dyDescent="0.25">
      <c r="A39" s="25" t="s">
        <v>35</v>
      </c>
      <c r="B39" s="26">
        <f>'1. Baseline Inputs'!$C26*'1. Baseline Inputs'!B14</f>
        <v>1848.4099999999999</v>
      </c>
      <c r="C39" s="26">
        <f>'1. Baseline Inputs'!$C26*'1. Baseline Inputs'!C14</f>
        <v>1558.8999999999999</v>
      </c>
      <c r="D39" s="26">
        <f>'1. Baseline Inputs'!$C26*'1. Baseline Inputs'!D14</f>
        <v>1336.2</v>
      </c>
      <c r="E39" s="26">
        <f>'1. Baseline Inputs'!$C26*'1. Baseline Inputs'!E14</f>
        <v>1091.23</v>
      </c>
      <c r="F39" s="26">
        <f>'1. Baseline Inputs'!$C26*'1. Baseline Inputs'!F14</f>
        <v>779.44999999999993</v>
      </c>
      <c r="G39" s="37"/>
    </row>
    <row r="40" spans="1:8" ht="15.75" x14ac:dyDescent="0.25">
      <c r="A40" s="28" t="s">
        <v>36</v>
      </c>
      <c r="B40" s="29">
        <f>B39/'1. Baseline Inputs'!B5</f>
        <v>1.1523753117206981</v>
      </c>
      <c r="C40" s="29">
        <f>C39/'1. Baseline Inputs'!C5</f>
        <v>0.60212437234453453</v>
      </c>
      <c r="D40" s="29">
        <f>D39/'1. Baseline Inputs'!D5</f>
        <v>0.37565364070846219</v>
      </c>
      <c r="E40" s="29">
        <f>E39/'1. Baseline Inputs'!E5</f>
        <v>0.22076269471980578</v>
      </c>
      <c r="F40" s="29">
        <f>F39/'1. Baseline Inputs'!F5</f>
        <v>8.3551291671133024E-2</v>
      </c>
      <c r="G40" s="37"/>
    </row>
    <row r="41" spans="1:8" ht="15.75" x14ac:dyDescent="0.25">
      <c r="A41" s="31" t="s">
        <v>37</v>
      </c>
      <c r="B41" s="32">
        <f>IF(B40&gt;Che_Threshold,B38/'1. Baseline Inputs'!B4,0)</f>
        <v>1.0259999999999998E-3</v>
      </c>
      <c r="C41" s="32">
        <f>IF(C40&gt;Che_Threshold,C38/'1. Baseline Inputs'!C4,0)</f>
        <v>1.0259999999999998E-3</v>
      </c>
      <c r="D41" s="32">
        <f>IF(D40&gt;Che_Threshold,D38/'1. Baseline Inputs'!D4,0)</f>
        <v>1.0950000000000001E-3</v>
      </c>
      <c r="E41" s="32">
        <f>IF(E40&gt;Che_Threshold,E38/'1. Baseline Inputs'!E4,0)</f>
        <v>1.1362500000000001E-3</v>
      </c>
      <c r="F41" s="32">
        <f>IF(F40&gt;Che_Threshold,F38/'1. Baseline Inputs'!F4,0)</f>
        <v>0</v>
      </c>
      <c r="G41" s="38">
        <f>SUM(B41:F41)</f>
        <v>4.2832499999999997E-3</v>
      </c>
      <c r="H41" s="7"/>
    </row>
    <row r="42" spans="1:8" ht="15.75" x14ac:dyDescent="0.25">
      <c r="A42" s="129" t="s">
        <v>13</v>
      </c>
      <c r="B42" s="129"/>
      <c r="C42" s="129"/>
      <c r="D42" s="129"/>
      <c r="E42" s="129"/>
      <c r="F42" s="129"/>
      <c r="G42" s="129"/>
      <c r="H42" s="7"/>
    </row>
    <row r="43" spans="1:8" ht="15.75" x14ac:dyDescent="0.25">
      <c r="A43" s="39" t="s">
        <v>12</v>
      </c>
      <c r="B43" s="46">
        <f>SUM(B11,B17,B23,B29,B35,B41)</f>
        <v>3.4199999999999994E-2</v>
      </c>
      <c r="C43" s="46">
        <f>SUM(C11,C17,C23,C29,C35,C41)</f>
        <v>3.4199999999999994E-2</v>
      </c>
      <c r="D43" s="46">
        <f>SUM(D11,D17,D23,D29,D35,D41)</f>
        <v>3.6499999999999998E-2</v>
      </c>
      <c r="E43" s="46">
        <f>SUM(E11,E17,E23,E29,E35,E41)</f>
        <v>2.8216874999999995E-2</v>
      </c>
      <c r="F43" s="46">
        <f>SUM(F11,F17,F23,F29,F35,F41)</f>
        <v>0</v>
      </c>
      <c r="G43" s="46">
        <f>SUM(B43:F43)</f>
        <v>0.133116875</v>
      </c>
      <c r="H43" s="7"/>
    </row>
  </sheetData>
  <mergeCells count="7">
    <mergeCell ref="A36:G36"/>
    <mergeCell ref="A42:G42"/>
    <mergeCell ref="A6:G6"/>
    <mergeCell ref="A12:G12"/>
    <mergeCell ref="A18:G18"/>
    <mergeCell ref="A24:G24"/>
    <mergeCell ref="A30:G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
  <sheetViews>
    <sheetView showGridLines="0" workbookViewId="0">
      <selection sqref="A1:I3"/>
    </sheetView>
  </sheetViews>
  <sheetFormatPr defaultRowHeight="15" x14ac:dyDescent="0.25"/>
  <sheetData>
    <row r="1" spans="1:9" x14ac:dyDescent="0.25">
      <c r="A1" s="131" t="s">
        <v>64</v>
      </c>
      <c r="B1" s="131"/>
      <c r="C1" s="131"/>
      <c r="D1" s="131"/>
      <c r="E1" s="131"/>
      <c r="F1" s="131"/>
      <c r="G1" s="131"/>
      <c r="H1" s="131"/>
      <c r="I1" s="131"/>
    </row>
    <row r="2" spans="1:9" x14ac:dyDescent="0.25">
      <c r="A2" s="131"/>
      <c r="B2" s="131"/>
      <c r="C2" s="131"/>
      <c r="D2" s="131"/>
      <c r="E2" s="131"/>
      <c r="F2" s="131"/>
      <c r="G2" s="131"/>
      <c r="H2" s="131"/>
      <c r="I2" s="131"/>
    </row>
    <row r="3" spans="1:9" ht="30" customHeight="1" x14ac:dyDescent="0.25">
      <c r="A3" s="131"/>
      <c r="B3" s="131"/>
      <c r="C3" s="131"/>
      <c r="D3" s="131"/>
      <c r="E3" s="131"/>
      <c r="F3" s="131"/>
      <c r="G3" s="131"/>
      <c r="H3" s="131"/>
      <c r="I3" s="131"/>
    </row>
  </sheetData>
  <mergeCells count="1">
    <mergeCell ref="A1:I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9"/>
  <sheetViews>
    <sheetView showGridLines="0" zoomScaleNormal="100" workbookViewId="0">
      <selection sqref="A1:F7"/>
    </sheetView>
  </sheetViews>
  <sheetFormatPr defaultRowHeight="15" x14ac:dyDescent="0.25"/>
  <cols>
    <col min="1" max="1" width="34.85546875" customWidth="1"/>
    <col min="2" max="2" width="12.140625" customWidth="1"/>
    <col min="3" max="4" width="12.28515625" customWidth="1"/>
    <col min="5" max="5" width="11.140625" customWidth="1"/>
    <col min="6" max="6" width="12.85546875" customWidth="1"/>
    <col min="7" max="7" width="11.140625" customWidth="1"/>
  </cols>
  <sheetData>
    <row r="1" spans="1:11" x14ac:dyDescent="0.25">
      <c r="A1" s="132" t="s">
        <v>74</v>
      </c>
      <c r="B1" s="133"/>
      <c r="C1" s="133"/>
      <c r="D1" s="133"/>
      <c r="E1" s="133"/>
      <c r="F1" s="133"/>
    </row>
    <row r="2" spans="1:11" x14ac:dyDescent="0.25">
      <c r="A2" s="133"/>
      <c r="B2" s="133"/>
      <c r="C2" s="133"/>
      <c r="D2" s="133"/>
      <c r="E2" s="133"/>
      <c r="F2" s="133"/>
    </row>
    <row r="3" spans="1:11" x14ac:dyDescent="0.25">
      <c r="A3" s="133"/>
      <c r="B3" s="133"/>
      <c r="C3" s="133"/>
      <c r="D3" s="133"/>
      <c r="E3" s="133"/>
      <c r="F3" s="133"/>
    </row>
    <row r="4" spans="1:11" x14ac:dyDescent="0.25">
      <c r="A4" s="133"/>
      <c r="B4" s="133"/>
      <c r="C4" s="133"/>
      <c r="D4" s="133"/>
      <c r="E4" s="133"/>
      <c r="F4" s="133"/>
    </row>
    <row r="5" spans="1:11" x14ac:dyDescent="0.25">
      <c r="A5" s="133"/>
      <c r="B5" s="133"/>
      <c r="C5" s="133"/>
      <c r="D5" s="133"/>
      <c r="E5" s="133"/>
      <c r="F5" s="133"/>
    </row>
    <row r="6" spans="1:11" x14ac:dyDescent="0.25">
      <c r="A6" s="133"/>
      <c r="B6" s="133"/>
      <c r="C6" s="133"/>
      <c r="D6" s="133"/>
      <c r="E6" s="133"/>
      <c r="F6" s="133"/>
    </row>
    <row r="7" spans="1:11" ht="94.5" customHeight="1" x14ac:dyDescent="0.25">
      <c r="A7" s="133"/>
      <c r="B7" s="133"/>
      <c r="C7" s="133"/>
      <c r="D7" s="133"/>
      <c r="E7" s="133"/>
      <c r="F7" s="133"/>
    </row>
    <row r="8" spans="1:11" x14ac:dyDescent="0.25">
      <c r="A8" s="8"/>
    </row>
    <row r="9" spans="1:11" ht="18.75" x14ac:dyDescent="0.3">
      <c r="A9" s="47" t="s">
        <v>14</v>
      </c>
      <c r="B9" s="97">
        <v>0.5</v>
      </c>
    </row>
    <row r="10" spans="1:11" x14ac:dyDescent="0.25">
      <c r="A10" s="8"/>
    </row>
    <row r="11" spans="1:11" x14ac:dyDescent="0.25">
      <c r="A11" s="4"/>
      <c r="B11" s="5"/>
      <c r="C11" s="5"/>
      <c r="D11" s="5"/>
      <c r="E11" s="5"/>
      <c r="F11" s="5"/>
      <c r="G11" s="11"/>
      <c r="H11" s="9"/>
      <c r="I11" s="9"/>
      <c r="J11" s="9"/>
      <c r="K11" s="9"/>
    </row>
    <row r="12" spans="1:11" ht="18.75" x14ac:dyDescent="0.3">
      <c r="A12" s="74" t="s">
        <v>65</v>
      </c>
      <c r="B12" s="75"/>
      <c r="C12" s="75"/>
      <c r="D12" s="75"/>
      <c r="E12" s="75"/>
      <c r="F12" s="75"/>
      <c r="G12" s="48"/>
      <c r="I12" s="9"/>
      <c r="J12" s="9"/>
      <c r="K12" s="9"/>
    </row>
    <row r="13" spans="1:11" ht="75" x14ac:dyDescent="0.3">
      <c r="A13" s="88"/>
      <c r="B13" s="89" t="s">
        <v>16</v>
      </c>
      <c r="C13" s="89" t="s">
        <v>17</v>
      </c>
      <c r="D13" s="89" t="s">
        <v>18</v>
      </c>
      <c r="E13" s="89" t="s">
        <v>19</v>
      </c>
      <c r="F13" s="89" t="s">
        <v>20</v>
      </c>
      <c r="G13" s="90" t="s">
        <v>3</v>
      </c>
      <c r="I13" s="9"/>
      <c r="J13" s="9"/>
      <c r="K13" s="9"/>
    </row>
    <row r="14" spans="1:11" ht="18.75" x14ac:dyDescent="0.3">
      <c r="A14" s="91" t="s">
        <v>5</v>
      </c>
      <c r="B14" s="92">
        <v>-0.32</v>
      </c>
      <c r="C14" s="92">
        <v>-0.27</v>
      </c>
      <c r="D14" s="92">
        <v>-0.26</v>
      </c>
      <c r="E14" s="92">
        <v>-0.24</v>
      </c>
      <c r="F14" s="92">
        <v>-0.22</v>
      </c>
      <c r="G14" s="92">
        <f>AVERAGE(B14:F14)</f>
        <v>-0.26200000000000001</v>
      </c>
      <c r="I14" s="9"/>
      <c r="J14" s="9"/>
      <c r="K14" s="9"/>
    </row>
    <row r="15" spans="1:11" ht="37.5" x14ac:dyDescent="0.3">
      <c r="A15" s="93" t="s">
        <v>29</v>
      </c>
      <c r="B15" s="94">
        <f>PED_Q1/2</f>
        <v>-0.16</v>
      </c>
      <c r="C15" s="98"/>
      <c r="D15" s="98"/>
      <c r="E15" s="98"/>
      <c r="F15" s="98"/>
      <c r="G15" s="94">
        <f>AVERAGE(B15:F15)</f>
        <v>-0.16</v>
      </c>
      <c r="I15" s="9"/>
      <c r="J15" s="9"/>
      <c r="K15" s="9"/>
    </row>
    <row r="16" spans="1:11" ht="18.75" x14ac:dyDescent="0.25">
      <c r="A16" s="95" t="s">
        <v>4</v>
      </c>
      <c r="B16" s="96">
        <f>PREV_SMK_Q1*(1+(TAX*'5. Tax Scenario'!B15))</f>
        <v>0.25760000000000005</v>
      </c>
      <c r="C16" s="99"/>
      <c r="D16" s="99"/>
      <c r="E16" s="99"/>
      <c r="F16" s="99"/>
      <c r="G16" s="96">
        <f>PREV_SMK_TOT*(1+(TAX*'5. Tax Scenario'!G15))</f>
        <v>0.23920000000000002</v>
      </c>
      <c r="I16" s="9"/>
      <c r="J16" s="9"/>
      <c r="K16" s="9"/>
    </row>
    <row r="17" spans="1:11" ht="43.5" customHeight="1" x14ac:dyDescent="0.3">
      <c r="A17" s="126" t="s">
        <v>30</v>
      </c>
      <c r="B17" s="126"/>
      <c r="C17" s="126"/>
      <c r="D17" s="126"/>
      <c r="E17" s="126"/>
      <c r="F17" s="126"/>
      <c r="G17" s="126"/>
      <c r="I17" s="9"/>
      <c r="J17" s="9"/>
      <c r="K17" s="9"/>
    </row>
    <row r="18" spans="1:11" x14ac:dyDescent="0.25">
      <c r="A18" s="2"/>
      <c r="B18" s="5"/>
      <c r="C18" s="5"/>
      <c r="D18" s="5"/>
      <c r="E18" s="5"/>
      <c r="F18" s="5"/>
      <c r="G18" s="9"/>
      <c r="H18" s="9"/>
      <c r="I18" s="9"/>
      <c r="J18" s="9"/>
      <c r="K18" s="9"/>
    </row>
    <row r="19" spans="1:11" x14ac:dyDescent="0.25">
      <c r="A19" s="4"/>
      <c r="B19" s="3"/>
      <c r="C19" s="3"/>
      <c r="D19" s="3"/>
      <c r="E19" s="3"/>
      <c r="F19" s="3"/>
    </row>
    <row r="27" spans="1:11" s="8" customFormat="1" x14ac:dyDescent="0.25"/>
    <row r="28" spans="1:11" s="8" customFormat="1" x14ac:dyDescent="0.25"/>
    <row r="29" spans="1:11" s="8" customFormat="1" x14ac:dyDescent="0.25"/>
    <row r="31" spans="1:11" x14ac:dyDescent="0.25">
      <c r="H31" s="6"/>
    </row>
    <row r="32" spans="1:11" x14ac:dyDescent="0.25">
      <c r="H32" s="6"/>
    </row>
    <row r="33" spans="8:8" ht="20.25" customHeight="1" x14ac:dyDescent="0.25"/>
    <row r="34" spans="8:8" ht="34.5" customHeight="1" x14ac:dyDescent="0.25"/>
    <row r="35" spans="8:8" ht="20.25" customHeight="1" x14ac:dyDescent="0.25"/>
    <row r="36" spans="8:8" ht="20.25" customHeight="1" x14ac:dyDescent="0.25"/>
    <row r="37" spans="8:8" ht="20.25" customHeight="1" x14ac:dyDescent="0.25">
      <c r="H37" s="7"/>
    </row>
    <row r="38" spans="8:8" x14ac:dyDescent="0.25">
      <c r="H38" s="7"/>
    </row>
    <row r="39" spans="8:8" ht="24.75" customHeight="1" x14ac:dyDescent="0.25"/>
    <row r="40" spans="8:8" ht="36" customHeight="1" x14ac:dyDescent="0.25"/>
    <row r="41" spans="8:8" ht="24.75" customHeight="1" x14ac:dyDescent="0.25"/>
    <row r="42" spans="8:8" ht="24.75" customHeight="1" x14ac:dyDescent="0.25"/>
    <row r="43" spans="8:8" ht="24.75" customHeight="1" x14ac:dyDescent="0.25">
      <c r="H43" s="7"/>
    </row>
    <row r="44" spans="8:8" x14ac:dyDescent="0.25">
      <c r="H44" s="7"/>
    </row>
    <row r="45" spans="8:8" ht="21" customHeight="1" x14ac:dyDescent="0.25"/>
    <row r="46" spans="8:8" ht="31.5" customHeight="1" x14ac:dyDescent="0.25"/>
    <row r="47" spans="8:8" ht="21" customHeight="1" x14ac:dyDescent="0.25"/>
    <row r="48" spans="8:8" ht="21" customHeight="1" x14ac:dyDescent="0.25"/>
    <row r="49" spans="8:8" ht="21" customHeight="1" x14ac:dyDescent="0.25">
      <c r="H49" s="7"/>
    </row>
    <row r="50" spans="8:8" x14ac:dyDescent="0.25">
      <c r="H50" s="7"/>
    </row>
    <row r="51" spans="8:8" ht="26.25" customHeight="1" x14ac:dyDescent="0.25"/>
    <row r="52" spans="8:8" ht="33.75" customHeight="1" x14ac:dyDescent="0.25"/>
    <row r="53" spans="8:8" ht="26.25" customHeight="1" x14ac:dyDescent="0.25"/>
    <row r="54" spans="8:8" ht="26.25" customHeight="1" x14ac:dyDescent="0.25"/>
    <row r="55" spans="8:8" ht="26.25" customHeight="1" x14ac:dyDescent="0.25">
      <c r="H55" s="7"/>
    </row>
    <row r="56" spans="8:8" x14ac:dyDescent="0.25">
      <c r="H56" s="7"/>
    </row>
    <row r="57" spans="8:8" ht="28.5" customHeight="1" x14ac:dyDescent="0.25"/>
    <row r="58" spans="8:8" ht="36.75" customHeight="1" x14ac:dyDescent="0.25"/>
    <row r="59" spans="8:8" ht="28.5" customHeight="1" x14ac:dyDescent="0.25"/>
    <row r="60" spans="8:8" ht="28.5" customHeight="1" x14ac:dyDescent="0.25"/>
    <row r="61" spans="8:8" ht="28.5" customHeight="1" x14ac:dyDescent="0.25">
      <c r="H61" s="7"/>
    </row>
    <row r="62" spans="8:8" x14ac:dyDescent="0.25">
      <c r="H62" s="7"/>
    </row>
    <row r="63" spans="8:8" ht="23.25" customHeight="1" x14ac:dyDescent="0.25"/>
    <row r="64" spans="8:8" ht="33.75" customHeight="1" x14ac:dyDescent="0.25"/>
    <row r="65" spans="8:8" ht="23.25" customHeight="1" x14ac:dyDescent="0.25"/>
    <row r="66" spans="8:8" ht="23.25" customHeight="1" x14ac:dyDescent="0.25"/>
    <row r="67" spans="8:8" ht="23.25" customHeight="1" x14ac:dyDescent="0.25">
      <c r="H67" s="7"/>
    </row>
    <row r="68" spans="8:8" x14ac:dyDescent="0.25">
      <c r="H68" s="7"/>
    </row>
    <row r="69" spans="8:8" x14ac:dyDescent="0.25">
      <c r="H69" s="7"/>
    </row>
  </sheetData>
  <mergeCells count="2">
    <mergeCell ref="A1:F7"/>
    <mergeCell ref="A17:G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workbookViewId="0">
      <selection sqref="A1:F5"/>
    </sheetView>
  </sheetViews>
  <sheetFormatPr defaultRowHeight="15" x14ac:dyDescent="0.25"/>
  <cols>
    <col min="1" max="1" width="38.5703125" customWidth="1"/>
    <col min="2" max="7" width="11.42578125" customWidth="1"/>
  </cols>
  <sheetData>
    <row r="1" spans="1:7" ht="15" customHeight="1" x14ac:dyDescent="0.25">
      <c r="A1" s="132" t="s">
        <v>66</v>
      </c>
      <c r="B1" s="134"/>
      <c r="C1" s="134"/>
      <c r="D1" s="134"/>
      <c r="E1" s="134"/>
      <c r="F1" s="134"/>
    </row>
    <row r="2" spans="1:7" x14ac:dyDescent="0.25">
      <c r="A2" s="134"/>
      <c r="B2" s="134"/>
      <c r="C2" s="134"/>
      <c r="D2" s="134"/>
      <c r="E2" s="134"/>
      <c r="F2" s="134"/>
    </row>
    <row r="3" spans="1:7" x14ac:dyDescent="0.25">
      <c r="A3" s="134"/>
      <c r="B3" s="134"/>
      <c r="C3" s="134"/>
      <c r="D3" s="134"/>
      <c r="E3" s="134"/>
      <c r="F3" s="134"/>
    </row>
    <row r="4" spans="1:7" x14ac:dyDescent="0.25">
      <c r="A4" s="134"/>
      <c r="B4" s="134"/>
      <c r="C4" s="134"/>
      <c r="D4" s="134"/>
      <c r="E4" s="134"/>
      <c r="F4" s="134"/>
    </row>
    <row r="5" spans="1:7" ht="56.25" customHeight="1" x14ac:dyDescent="0.25">
      <c r="A5" s="134"/>
      <c r="B5" s="134"/>
      <c r="C5" s="134"/>
      <c r="D5" s="134"/>
      <c r="E5" s="134"/>
      <c r="F5" s="134"/>
    </row>
    <row r="6" spans="1:7" ht="18.75" x14ac:dyDescent="0.25">
      <c r="A6" s="100" t="s">
        <v>60</v>
      </c>
      <c r="B6" s="100"/>
      <c r="C6" s="42">
        <f>'1. Baseline Inputs'!B17</f>
        <v>0.1</v>
      </c>
      <c r="D6" s="125" t="s">
        <v>72</v>
      </c>
      <c r="E6" s="12"/>
      <c r="F6" s="12"/>
      <c r="G6" s="8"/>
    </row>
    <row r="7" spans="1:7" x14ac:dyDescent="0.25">
      <c r="A7" s="12"/>
      <c r="B7" s="12"/>
      <c r="C7" s="12"/>
      <c r="D7" s="12"/>
      <c r="E7" s="12"/>
      <c r="F7" s="12"/>
      <c r="G7" s="8"/>
    </row>
    <row r="8" spans="1:7" ht="15.75" x14ac:dyDescent="0.25">
      <c r="A8" s="14" t="s">
        <v>67</v>
      </c>
      <c r="B8" s="15"/>
      <c r="C8" s="15"/>
      <c r="D8" s="15"/>
      <c r="E8" s="15"/>
      <c r="F8" s="15"/>
      <c r="G8" s="15"/>
    </row>
    <row r="9" spans="1:7" ht="48" customHeight="1" x14ac:dyDescent="0.25">
      <c r="A9" s="16"/>
      <c r="B9" s="17" t="s">
        <v>16</v>
      </c>
      <c r="C9" s="17" t="s">
        <v>17</v>
      </c>
      <c r="D9" s="17" t="s">
        <v>18</v>
      </c>
      <c r="E9" s="17" t="s">
        <v>19</v>
      </c>
      <c r="F9" s="17" t="s">
        <v>20</v>
      </c>
      <c r="G9" s="18" t="s">
        <v>3</v>
      </c>
    </row>
    <row r="10" spans="1:7" ht="15.75" x14ac:dyDescent="0.25">
      <c r="A10" s="129" t="s">
        <v>8</v>
      </c>
      <c r="B10" s="129"/>
      <c r="C10" s="129"/>
      <c r="D10" s="129"/>
      <c r="E10" s="129"/>
      <c r="F10" s="129"/>
      <c r="G10" s="129"/>
    </row>
    <row r="11" spans="1:7" ht="15.75" x14ac:dyDescent="0.25">
      <c r="A11" s="35" t="s">
        <v>43</v>
      </c>
      <c r="B11" s="101">
        <f>'1. Baseline Inputs'!B4*'5. Tax Scenario'!B16*'1. Baseline Inputs'!$B21</f>
        <v>14232.400000000003</v>
      </c>
      <c r="C11" s="102"/>
      <c r="D11" s="102"/>
      <c r="E11" s="102"/>
      <c r="F11" s="102"/>
      <c r="G11" s="22"/>
    </row>
    <row r="12" spans="1:7" ht="31.5" x14ac:dyDescent="0.25">
      <c r="A12" s="23" t="s">
        <v>34</v>
      </c>
      <c r="B12" s="103">
        <f>B11*'1. Baseline Inputs'!B11*HOSP_UTIL_Q1</f>
        <v>2704.1560000000009</v>
      </c>
      <c r="C12" s="104"/>
      <c r="D12" s="104"/>
      <c r="E12" s="104"/>
      <c r="F12" s="104"/>
      <c r="G12" s="37"/>
    </row>
    <row r="13" spans="1:7" ht="15.75" x14ac:dyDescent="0.25">
      <c r="A13" s="25" t="s">
        <v>35</v>
      </c>
      <c r="B13" s="26">
        <f>'1. Baseline Inputs'!$C21*'1. Baseline Inputs'!B14</f>
        <v>789.32999999999993</v>
      </c>
      <c r="C13" s="27"/>
      <c r="D13" s="27"/>
      <c r="E13" s="27"/>
      <c r="F13" s="27"/>
      <c r="G13" s="37"/>
    </row>
    <row r="14" spans="1:7" ht="15.75" x14ac:dyDescent="0.25">
      <c r="A14" s="28" t="s">
        <v>36</v>
      </c>
      <c r="B14" s="29">
        <f>B13/'1. Baseline Inputs'!B5</f>
        <v>0.49210099750623437</v>
      </c>
      <c r="C14" s="30"/>
      <c r="D14" s="30"/>
      <c r="E14" s="30"/>
      <c r="F14" s="30"/>
      <c r="G14" s="37"/>
    </row>
    <row r="15" spans="1:7" ht="15.75" x14ac:dyDescent="0.25">
      <c r="A15" s="31" t="s">
        <v>37</v>
      </c>
      <c r="B15" s="32">
        <f>IF(B14&gt;Che_Threshold,B12/'1. Baseline Inputs'!B4,0)</f>
        <v>3.1813600000000011E-3</v>
      </c>
      <c r="C15" s="33"/>
      <c r="D15" s="33"/>
      <c r="E15" s="33"/>
      <c r="F15" s="33"/>
      <c r="G15" s="34"/>
    </row>
    <row r="16" spans="1:7" ht="15.75" x14ac:dyDescent="0.25">
      <c r="A16" s="128" t="s">
        <v>21</v>
      </c>
      <c r="B16" s="128"/>
      <c r="C16" s="128"/>
      <c r="D16" s="128"/>
      <c r="E16" s="128"/>
      <c r="F16" s="128"/>
      <c r="G16" s="128"/>
    </row>
    <row r="17" spans="1:7" ht="15.75" x14ac:dyDescent="0.25">
      <c r="A17" s="35" t="s">
        <v>43</v>
      </c>
      <c r="B17" s="101">
        <f>'1. Baseline Inputs'!B4*'5. Tax Scenario'!B16*'1. Baseline Inputs'!$B22</f>
        <v>29559.600000000006</v>
      </c>
      <c r="C17" s="101">
        <f>'1. Baseline Inputs'!C4*'5. Tax Scenario'!C16*'1. Baseline Inputs'!$B22</f>
        <v>0</v>
      </c>
      <c r="D17" s="101">
        <f>'1. Baseline Inputs'!D4*'5. Tax Scenario'!D16*'1. Baseline Inputs'!$B22</f>
        <v>0</v>
      </c>
      <c r="E17" s="101">
        <f>'1. Baseline Inputs'!E4*'5. Tax Scenario'!E16*'1. Baseline Inputs'!$B22</f>
        <v>0</v>
      </c>
      <c r="F17" s="101">
        <f>'1. Baseline Inputs'!F4*'5. Tax Scenario'!F16*'1. Baseline Inputs'!$B22</f>
        <v>0</v>
      </c>
      <c r="G17" s="105">
        <f>SUM(B17:F17)</f>
        <v>29559.600000000006</v>
      </c>
    </row>
    <row r="18" spans="1:7" ht="31.5" x14ac:dyDescent="0.25">
      <c r="A18" s="23" t="s">
        <v>34</v>
      </c>
      <c r="B18" s="103">
        <f>B17*'1. Baseline Inputs'!B11*HOSP_UTIL_Q1</f>
        <v>5616.3240000000014</v>
      </c>
      <c r="C18" s="103">
        <f>C17*'1. Baseline Inputs'!C11*HOSP_UTIL_Q2</f>
        <v>0</v>
      </c>
      <c r="D18" s="103">
        <f>D17*'1. Baseline Inputs'!D11*HOSP_UTIL_Q3</f>
        <v>0</v>
      </c>
      <c r="E18" s="103">
        <f>E17*'1. Baseline Inputs'!E11*HOSP_UTIL_Q4</f>
        <v>0</v>
      </c>
      <c r="F18" s="103">
        <f>F17*'1. Baseline Inputs'!F11*HOSP_UTIL_Q5</f>
        <v>0</v>
      </c>
      <c r="G18" s="37"/>
    </row>
    <row r="19" spans="1:7" ht="15.75" x14ac:dyDescent="0.25">
      <c r="A19" s="25" t="s">
        <v>35</v>
      </c>
      <c r="B19" s="26">
        <f>'1. Baseline Inputs'!$C22*'1. Baseline Inputs'!B14</f>
        <v>1848.4099999999999</v>
      </c>
      <c r="C19" s="26">
        <f>'1. Baseline Inputs'!$C22*'1. Baseline Inputs'!C14</f>
        <v>1558.8999999999999</v>
      </c>
      <c r="D19" s="26">
        <f>'1. Baseline Inputs'!$C22*'1. Baseline Inputs'!D14</f>
        <v>1336.2</v>
      </c>
      <c r="E19" s="26">
        <f>'1. Baseline Inputs'!$C22*'1. Baseline Inputs'!E14</f>
        <v>1091.23</v>
      </c>
      <c r="F19" s="26">
        <f>'1. Baseline Inputs'!$C22*'1. Baseline Inputs'!F14</f>
        <v>779.44999999999993</v>
      </c>
      <c r="G19" s="37"/>
    </row>
    <row r="20" spans="1:7" ht="15.75" x14ac:dyDescent="0.25">
      <c r="A20" s="28" t="s">
        <v>36</v>
      </c>
      <c r="B20" s="29">
        <f>B19/'1. Baseline Inputs'!B5</f>
        <v>1.1523753117206981</v>
      </c>
      <c r="C20" s="29">
        <f>C19/'1. Baseline Inputs'!C5</f>
        <v>0.60212437234453453</v>
      </c>
      <c r="D20" s="29">
        <f>D19/'1. Baseline Inputs'!D5</f>
        <v>0.37565364070846219</v>
      </c>
      <c r="E20" s="29">
        <f>E19/'1. Baseline Inputs'!E5</f>
        <v>0.22076269471980578</v>
      </c>
      <c r="F20" s="29">
        <f>F19/'1. Baseline Inputs'!F5</f>
        <v>8.3551291671133024E-2</v>
      </c>
      <c r="G20" s="37"/>
    </row>
    <row r="21" spans="1:7" ht="15.75" x14ac:dyDescent="0.25">
      <c r="A21" s="31" t="s">
        <v>37</v>
      </c>
      <c r="B21" s="32">
        <f>IF(B20&gt;Che_Threshold,B18/'1. Baseline Inputs'!B4,0)</f>
        <v>6.6074400000000017E-3</v>
      </c>
      <c r="C21" s="32">
        <f>IF(C20&gt;Che_Threshold,C18/'1. Baseline Inputs'!C4,0)</f>
        <v>0</v>
      </c>
      <c r="D21" s="32">
        <f>IF(D20&gt;Che_Threshold,D18/'1. Baseline Inputs'!D4,0)</f>
        <v>0</v>
      </c>
      <c r="E21" s="32">
        <f>IF(E20&gt;Che_Threshold,E18/'1. Baseline Inputs'!E4,0)</f>
        <v>0</v>
      </c>
      <c r="F21" s="32">
        <f>IF(F20&gt;Che_Threshold,F18/'1. Baseline Inputs'!F4,0)</f>
        <v>0</v>
      </c>
      <c r="G21" s="38">
        <f>SUM(B21:F21)</f>
        <v>6.6074400000000017E-3</v>
      </c>
    </row>
    <row r="22" spans="1:7" ht="15.75" x14ac:dyDescent="0.25">
      <c r="A22" s="128" t="s">
        <v>9</v>
      </c>
      <c r="B22" s="128"/>
      <c r="C22" s="128"/>
      <c r="D22" s="128"/>
      <c r="E22" s="128"/>
      <c r="F22" s="128"/>
      <c r="G22" s="128"/>
    </row>
    <row r="23" spans="1:7" ht="15.75" x14ac:dyDescent="0.25">
      <c r="A23" s="35" t="s">
        <v>43</v>
      </c>
      <c r="B23" s="101">
        <f>'1. Baseline Inputs'!B4*'5. Tax Scenario'!B16*'1. Baseline Inputs'!$B23</f>
        <v>41602.400000000009</v>
      </c>
      <c r="C23" s="101">
        <f>'1. Baseline Inputs'!C4*'5. Tax Scenario'!C16*'1. Baseline Inputs'!$B23</f>
        <v>0</v>
      </c>
      <c r="D23" s="101">
        <f>'1. Baseline Inputs'!D4*'5. Tax Scenario'!D16*'1. Baseline Inputs'!$B23</f>
        <v>0</v>
      </c>
      <c r="E23" s="101">
        <f>'1. Baseline Inputs'!E4*'5. Tax Scenario'!E16*'1. Baseline Inputs'!$B23</f>
        <v>0</v>
      </c>
      <c r="F23" s="101">
        <f>'1. Baseline Inputs'!F4*'5. Tax Scenario'!F16*'1. Baseline Inputs'!$B23</f>
        <v>0</v>
      </c>
      <c r="G23" s="105">
        <f>SUM(B23:F23)</f>
        <v>41602.400000000009</v>
      </c>
    </row>
    <row r="24" spans="1:7" ht="31.5" x14ac:dyDescent="0.25">
      <c r="A24" s="23" t="s">
        <v>34</v>
      </c>
      <c r="B24" s="103">
        <f>B23*'1. Baseline Inputs'!B11*HOSP_UTIL_Q1</f>
        <v>7904.456000000001</v>
      </c>
      <c r="C24" s="103">
        <f>C23*'1. Baseline Inputs'!C11*HOSP_UTIL_Q2</f>
        <v>0</v>
      </c>
      <c r="D24" s="103">
        <f>D23*'1. Baseline Inputs'!D11*HOSP_UTIL_Q3</f>
        <v>0</v>
      </c>
      <c r="E24" s="103">
        <f>E23*'1. Baseline Inputs'!E11*HOSP_UTIL_Q4</f>
        <v>0</v>
      </c>
      <c r="F24" s="103">
        <f>F23*'1. Baseline Inputs'!F11*HOSP_UTIL_Q5</f>
        <v>0</v>
      </c>
      <c r="G24" s="37"/>
    </row>
    <row r="25" spans="1:7" ht="15.75" x14ac:dyDescent="0.25">
      <c r="A25" s="25" t="s">
        <v>35</v>
      </c>
      <c r="B25" s="26">
        <f>'1. Baseline Inputs'!$C23*'1. Baseline Inputs'!B14</f>
        <v>789.32999999999993</v>
      </c>
      <c r="C25" s="26">
        <f>'1. Baseline Inputs'!$C23*'1. Baseline Inputs'!C14</f>
        <v>665.69999999999993</v>
      </c>
      <c r="D25" s="26">
        <f>'1. Baseline Inputs'!$C23*'1. Baseline Inputs'!D14</f>
        <v>570.6</v>
      </c>
      <c r="E25" s="26">
        <f>'1. Baseline Inputs'!$C23*'1. Baseline Inputs'!E14</f>
        <v>465.99</v>
      </c>
      <c r="F25" s="26">
        <f>'1. Baseline Inputs'!$C23*'1. Baseline Inputs'!F14</f>
        <v>332.84999999999997</v>
      </c>
      <c r="G25" s="37"/>
    </row>
    <row r="26" spans="1:7" ht="15.75" x14ac:dyDescent="0.25">
      <c r="A26" s="28" t="s">
        <v>36</v>
      </c>
      <c r="B26" s="29">
        <f>B25/'1. Baseline Inputs'!B5</f>
        <v>0.49210099750623437</v>
      </c>
      <c r="C26" s="29">
        <f>C25/'1. Baseline Inputs'!C5</f>
        <v>0.25712630359212046</v>
      </c>
      <c r="D26" s="29">
        <f>D25/'1. Baseline Inputs'!D5</f>
        <v>0.16041608096710711</v>
      </c>
      <c r="E26" s="29">
        <f>E25/'1. Baseline Inputs'!E5</f>
        <v>9.4272708881246212E-2</v>
      </c>
      <c r="F26" s="29">
        <f>F25/'1. Baseline Inputs'!F5</f>
        <v>3.567906528030871E-2</v>
      </c>
      <c r="G26" s="37"/>
    </row>
    <row r="27" spans="1:7" ht="15.75" x14ac:dyDescent="0.25">
      <c r="A27" s="31" t="s">
        <v>37</v>
      </c>
      <c r="B27" s="32">
        <f>IF(B26&gt;Che_Threshold,B24/'1. Baseline Inputs'!B4,0)</f>
        <v>9.2993600000000013E-3</v>
      </c>
      <c r="C27" s="32">
        <f>IF(C26&gt;Che_Threshold,C24/'1. Baseline Inputs'!C4,0)</f>
        <v>0</v>
      </c>
      <c r="D27" s="32">
        <f>IF(D26&gt;Che_Threshold,D24/'1. Baseline Inputs'!D4,0)</f>
        <v>0</v>
      </c>
      <c r="E27" s="32">
        <f>IF(E26&gt;Che_Threshold,E24/'1. Baseline Inputs'!E4,0)</f>
        <v>0</v>
      </c>
      <c r="F27" s="32">
        <f>IF(F26&gt;Che_Threshold,F24/'1. Baseline Inputs'!F4,0)</f>
        <v>0</v>
      </c>
      <c r="G27" s="38">
        <f>SUM(B27:F27)</f>
        <v>9.2993600000000013E-3</v>
      </c>
    </row>
    <row r="28" spans="1:7" ht="15.75" x14ac:dyDescent="0.25">
      <c r="A28" s="128" t="s">
        <v>10</v>
      </c>
      <c r="B28" s="128"/>
      <c r="C28" s="128"/>
      <c r="D28" s="128"/>
      <c r="E28" s="128"/>
      <c r="F28" s="128"/>
      <c r="G28" s="128"/>
    </row>
    <row r="29" spans="1:7" ht="15.75" x14ac:dyDescent="0.25">
      <c r="A29" s="35" t="s">
        <v>43</v>
      </c>
      <c r="B29" s="106">
        <f>'1. Baseline Inputs'!B4*'5. Tax Scenario'!B16*'1. Baseline Inputs'!$B24</f>
        <v>120428.00000000003</v>
      </c>
      <c r="C29" s="106">
        <f>'1. Baseline Inputs'!C4*'5. Tax Scenario'!C16*'1. Baseline Inputs'!$B24</f>
        <v>0</v>
      </c>
      <c r="D29" s="106">
        <f>'1. Baseline Inputs'!D4*'5. Tax Scenario'!D16*'1. Baseline Inputs'!$B24</f>
        <v>0</v>
      </c>
      <c r="E29" s="106">
        <f>'1. Baseline Inputs'!E4*'5. Tax Scenario'!E16*'1. Baseline Inputs'!$B24</f>
        <v>0</v>
      </c>
      <c r="F29" s="106">
        <f>'1. Baseline Inputs'!F4*'5. Tax Scenario'!F16*'1. Baseline Inputs'!$B24</f>
        <v>0</v>
      </c>
      <c r="G29" s="105">
        <f>SUM(B29:F29)</f>
        <v>120428.00000000003</v>
      </c>
    </row>
    <row r="30" spans="1:7" ht="31.5" x14ac:dyDescent="0.25">
      <c r="A30" s="23" t="s">
        <v>34</v>
      </c>
      <c r="B30" s="103">
        <f>B29*'1. Baseline Inputs'!B11*HOSP_UTIL_Q1</f>
        <v>22881.320000000003</v>
      </c>
      <c r="C30" s="103">
        <f>C29*'1. Baseline Inputs'!C11*HOSP_UTIL_Q2</f>
        <v>0</v>
      </c>
      <c r="D30" s="103">
        <f>D29*'1. Baseline Inputs'!D11*HOSP_UTIL_Q3</f>
        <v>0</v>
      </c>
      <c r="E30" s="103">
        <f>E29*'1. Baseline Inputs'!E11*HOSP_UTIL_Q4</f>
        <v>0</v>
      </c>
      <c r="F30" s="103">
        <f>F29*'1. Baseline Inputs'!F11*HOSP_UTIL_Q5</f>
        <v>0</v>
      </c>
      <c r="G30" s="37"/>
    </row>
    <row r="31" spans="1:7" ht="15.75" x14ac:dyDescent="0.25">
      <c r="A31" s="25" t="s">
        <v>35</v>
      </c>
      <c r="B31" s="26">
        <f>'1. Baseline Inputs'!$C24*'1. Baseline Inputs'!B14</f>
        <v>1216.78</v>
      </c>
      <c r="C31" s="26">
        <f>'1. Baseline Inputs'!$C24*'1. Baseline Inputs'!C14</f>
        <v>1026.2</v>
      </c>
      <c r="D31" s="26">
        <f>'1. Baseline Inputs'!$C24*'1. Baseline Inputs'!D14</f>
        <v>879.6</v>
      </c>
      <c r="E31" s="26">
        <f>'1. Baseline Inputs'!$C24*'1. Baseline Inputs'!E14</f>
        <v>718.34</v>
      </c>
      <c r="F31" s="26">
        <f>'1. Baseline Inputs'!$C24*'1. Baseline Inputs'!F14</f>
        <v>513.1</v>
      </c>
      <c r="G31" s="37"/>
    </row>
    <row r="32" spans="1:7" ht="15.75" x14ac:dyDescent="0.25">
      <c r="A32" s="28" t="s">
        <v>36</v>
      </c>
      <c r="B32" s="29">
        <f>B31/'1. Baseline Inputs'!B5</f>
        <v>0.75859102244389021</v>
      </c>
      <c r="C32" s="29">
        <f>C31/'1. Baseline Inputs'!C5</f>
        <v>0.39636925453843186</v>
      </c>
      <c r="D32" s="29">
        <f>D31/'1. Baseline Inputs'!D5</f>
        <v>0.2472870396401462</v>
      </c>
      <c r="E32" s="29">
        <f>E31/'1. Baseline Inputs'!E5</f>
        <v>0.14532470159821972</v>
      </c>
      <c r="F32" s="29">
        <f>F31/'1. Baseline Inputs'!F5</f>
        <v>5.5000535963125742E-2</v>
      </c>
      <c r="G32" s="37"/>
    </row>
    <row r="33" spans="1:7" ht="15.75" x14ac:dyDescent="0.25">
      <c r="A33" s="31" t="s">
        <v>37</v>
      </c>
      <c r="B33" s="32">
        <f>IF(B32&gt;Che_Threshold,B30/'1. Baseline Inputs'!B4,0)</f>
        <v>2.6919200000000004E-2</v>
      </c>
      <c r="C33" s="32">
        <f>IF(C32&gt;Che_Threshold,C30/'1. Baseline Inputs'!C4,0)</f>
        <v>0</v>
      </c>
      <c r="D33" s="32">
        <f>IF(D32&gt;Che_Threshold,D30/'1. Baseline Inputs'!D4,0)</f>
        <v>0</v>
      </c>
      <c r="E33" s="32">
        <f>IF(E32&gt;Che_Threshold,E30/'1. Baseline Inputs'!E4,0)</f>
        <v>0</v>
      </c>
      <c r="F33" s="32">
        <f>IF(F32&gt;Che_Threshold,F30/'1. Baseline Inputs'!F4,0)</f>
        <v>0</v>
      </c>
      <c r="G33" s="38">
        <f>SUM(B33:F33)</f>
        <v>2.6919200000000004E-2</v>
      </c>
    </row>
    <row r="34" spans="1:7" ht="15.75" x14ac:dyDescent="0.25">
      <c r="A34" s="128" t="s">
        <v>54</v>
      </c>
      <c r="B34" s="128"/>
      <c r="C34" s="128"/>
      <c r="D34" s="128"/>
      <c r="E34" s="128"/>
      <c r="F34" s="128"/>
      <c r="G34" s="128"/>
    </row>
    <row r="35" spans="1:7" ht="15.75" x14ac:dyDescent="0.25">
      <c r="A35" s="35" t="s">
        <v>43</v>
      </c>
      <c r="B35" s="106">
        <f>'1. Baseline Inputs'!B4*'5. Tax Scenario'!B16*'1. Baseline Inputs'!$B25</f>
        <v>6568.8</v>
      </c>
      <c r="C35" s="106">
        <f>'1. Baseline Inputs'!C4*'5. Tax Scenario'!C16*'1. Baseline Inputs'!$B25</f>
        <v>0</v>
      </c>
      <c r="D35" s="106">
        <f>'1. Baseline Inputs'!D4*'5. Tax Scenario'!D16*'1. Baseline Inputs'!$B25</f>
        <v>0</v>
      </c>
      <c r="E35" s="106">
        <f>'1. Baseline Inputs'!E4*'5. Tax Scenario'!E16*'1. Baseline Inputs'!$B25</f>
        <v>0</v>
      </c>
      <c r="F35" s="106">
        <f>'1. Baseline Inputs'!F4*'5. Tax Scenario'!F16*'1. Baseline Inputs'!$B25</f>
        <v>0</v>
      </c>
      <c r="G35" s="105">
        <f>SUM(B35:F35)</f>
        <v>6568.8</v>
      </c>
    </row>
    <row r="36" spans="1:7" ht="31.5" x14ac:dyDescent="0.25">
      <c r="A36" s="23" t="s">
        <v>34</v>
      </c>
      <c r="B36" s="103">
        <f>B35*'1. Baseline Inputs'!B11*HOSP_UTIL_Q1</f>
        <v>1248.0720000000001</v>
      </c>
      <c r="C36" s="103">
        <f>C35*'1. Baseline Inputs'!C11*HOSP_UTIL_Q2</f>
        <v>0</v>
      </c>
      <c r="D36" s="103">
        <f>D35*'1. Baseline Inputs'!D11*HOSP_UTIL_Q3</f>
        <v>0</v>
      </c>
      <c r="E36" s="103">
        <f>E35*'1. Baseline Inputs'!E11*HOSP_UTIL_Q4</f>
        <v>0</v>
      </c>
      <c r="F36" s="103">
        <f>F35*'1. Baseline Inputs'!F11*HOSP_UTIL_Q5</f>
        <v>0</v>
      </c>
      <c r="G36" s="37"/>
    </row>
    <row r="37" spans="1:7" ht="15.75" x14ac:dyDescent="0.25">
      <c r="A37" s="25" t="s">
        <v>35</v>
      </c>
      <c r="B37" s="26">
        <f>'1. Baseline Inputs'!$C25*'1. Baseline Inputs'!B14</f>
        <v>1216.78</v>
      </c>
      <c r="C37" s="26">
        <f>'1. Baseline Inputs'!$C25*'1. Baseline Inputs'!C14</f>
        <v>1026.2</v>
      </c>
      <c r="D37" s="26">
        <f>'1. Baseline Inputs'!$C25*'1. Baseline Inputs'!D14</f>
        <v>879.6</v>
      </c>
      <c r="E37" s="26">
        <f>'1. Baseline Inputs'!$C25*'1. Baseline Inputs'!E14</f>
        <v>718.34</v>
      </c>
      <c r="F37" s="26">
        <f>'1. Baseline Inputs'!$C25*'1. Baseline Inputs'!F14</f>
        <v>513.1</v>
      </c>
      <c r="G37" s="37"/>
    </row>
    <row r="38" spans="1:7" ht="15.75" x14ac:dyDescent="0.25">
      <c r="A38" s="28" t="s">
        <v>36</v>
      </c>
      <c r="B38" s="29">
        <f>B37/'1. Baseline Inputs'!B5</f>
        <v>0.75859102244389021</v>
      </c>
      <c r="C38" s="29">
        <f>C37/'1. Baseline Inputs'!C5</f>
        <v>0.39636925453843186</v>
      </c>
      <c r="D38" s="29">
        <f>D37/'1. Baseline Inputs'!D5</f>
        <v>0.2472870396401462</v>
      </c>
      <c r="E38" s="29">
        <f>E37/'1. Baseline Inputs'!E5</f>
        <v>0.14532470159821972</v>
      </c>
      <c r="F38" s="29">
        <f>F37/'1. Baseline Inputs'!F5</f>
        <v>5.5000535963125742E-2</v>
      </c>
      <c r="G38" s="37"/>
    </row>
    <row r="39" spans="1:7" ht="15.75" x14ac:dyDescent="0.25">
      <c r="A39" s="31" t="s">
        <v>37</v>
      </c>
      <c r="B39" s="32">
        <f>IF(B38&gt;Che_Threshold,B36/'1. Baseline Inputs'!B4,0)</f>
        <v>1.4683200000000002E-3</v>
      </c>
      <c r="C39" s="32">
        <f>IF(C38&gt;Che_Threshold,C36/'1. Baseline Inputs'!C4,0)</f>
        <v>0</v>
      </c>
      <c r="D39" s="32">
        <f>IF(D38&gt;Che_Threshold,D36/'1. Baseline Inputs'!D4,0)</f>
        <v>0</v>
      </c>
      <c r="E39" s="32">
        <f>IF(E38&gt;Che_Threshold,E36/'1. Baseline Inputs'!E4,0)</f>
        <v>0</v>
      </c>
      <c r="F39" s="32">
        <f>IF(F38&gt;Che_Threshold,F36/'1. Baseline Inputs'!F4,0)</f>
        <v>0</v>
      </c>
      <c r="G39" s="38">
        <f>SUM(B39:F39)</f>
        <v>1.4683200000000002E-3</v>
      </c>
    </row>
    <row r="40" spans="1:7" ht="15.75" x14ac:dyDescent="0.25">
      <c r="A40" s="128" t="s">
        <v>22</v>
      </c>
      <c r="B40" s="128"/>
      <c r="C40" s="128"/>
      <c r="D40" s="128"/>
      <c r="E40" s="128"/>
      <c r="F40" s="128"/>
      <c r="G40" s="128"/>
    </row>
    <row r="41" spans="1:7" ht="15.75" x14ac:dyDescent="0.25">
      <c r="A41" s="35" t="s">
        <v>43</v>
      </c>
      <c r="B41" s="106">
        <f>'1. Baseline Inputs'!B4*'5. Tax Scenario'!B16*'1. Baseline Inputs'!$B26</f>
        <v>6568.8</v>
      </c>
      <c r="C41" s="106">
        <f>'1. Baseline Inputs'!C4*'5. Tax Scenario'!C16*'1. Baseline Inputs'!$B26</f>
        <v>0</v>
      </c>
      <c r="D41" s="106">
        <f>'1. Baseline Inputs'!D4*'5. Tax Scenario'!D16*'1. Baseline Inputs'!$B26</f>
        <v>0</v>
      </c>
      <c r="E41" s="106">
        <f>'1. Baseline Inputs'!E4*'5. Tax Scenario'!E16*'1. Baseline Inputs'!$B26</f>
        <v>0</v>
      </c>
      <c r="F41" s="106">
        <f>'1. Baseline Inputs'!F4*'5. Tax Scenario'!F16*'1. Baseline Inputs'!$B26</f>
        <v>0</v>
      </c>
      <c r="G41" s="105">
        <f>SUM(B41:F41)</f>
        <v>6568.8</v>
      </c>
    </row>
    <row r="42" spans="1:7" ht="31.5" x14ac:dyDescent="0.25">
      <c r="A42" s="23" t="s">
        <v>34</v>
      </c>
      <c r="B42" s="103">
        <f>B41*'1. Baseline Inputs'!B11*HOSP_UTIL_Q1</f>
        <v>1248.0720000000001</v>
      </c>
      <c r="C42" s="103">
        <f>C41*'1. Baseline Inputs'!C11*HOSP_UTIL_Q2</f>
        <v>0</v>
      </c>
      <c r="D42" s="103">
        <f>D41*'1. Baseline Inputs'!D11*HOSP_UTIL_Q3</f>
        <v>0</v>
      </c>
      <c r="E42" s="103">
        <f>E41*'1. Baseline Inputs'!E11*HOSP_UTIL_Q4</f>
        <v>0</v>
      </c>
      <c r="F42" s="103">
        <f>F41*'1. Baseline Inputs'!F11*HOSP_UTIL_Q5</f>
        <v>0</v>
      </c>
      <c r="G42" s="37"/>
    </row>
    <row r="43" spans="1:7" ht="15.75" x14ac:dyDescent="0.25">
      <c r="A43" s="25" t="s">
        <v>35</v>
      </c>
      <c r="B43" s="26">
        <f>'1. Baseline Inputs'!$C26*'1. Baseline Inputs'!B14</f>
        <v>1848.4099999999999</v>
      </c>
      <c r="C43" s="26">
        <f>'1. Baseline Inputs'!$C26*'1. Baseline Inputs'!C14</f>
        <v>1558.8999999999999</v>
      </c>
      <c r="D43" s="26">
        <f>'1. Baseline Inputs'!$C26*'1. Baseline Inputs'!D14</f>
        <v>1336.2</v>
      </c>
      <c r="E43" s="26">
        <f>'1. Baseline Inputs'!$C26*'1. Baseline Inputs'!E14</f>
        <v>1091.23</v>
      </c>
      <c r="F43" s="26">
        <f>'1. Baseline Inputs'!$C26*'1. Baseline Inputs'!F14</f>
        <v>779.44999999999993</v>
      </c>
      <c r="G43" s="37"/>
    </row>
    <row r="44" spans="1:7" ht="15.75" x14ac:dyDescent="0.25">
      <c r="A44" s="28" t="s">
        <v>36</v>
      </c>
      <c r="B44" s="29">
        <f>B43/'1. Baseline Inputs'!B5</f>
        <v>1.1523753117206981</v>
      </c>
      <c r="C44" s="29">
        <f>C43/'1. Baseline Inputs'!C5</f>
        <v>0.60212437234453453</v>
      </c>
      <c r="D44" s="29">
        <f>D43/'1. Baseline Inputs'!D5</f>
        <v>0.37565364070846219</v>
      </c>
      <c r="E44" s="29">
        <f>E43/'1. Baseline Inputs'!E5</f>
        <v>0.22076269471980578</v>
      </c>
      <c r="F44" s="29">
        <f>F43/'1. Baseline Inputs'!F5</f>
        <v>8.3551291671133024E-2</v>
      </c>
      <c r="G44" s="37"/>
    </row>
    <row r="45" spans="1:7" ht="15.75" x14ac:dyDescent="0.25">
      <c r="A45" s="31" t="s">
        <v>37</v>
      </c>
      <c r="B45" s="32">
        <f>IF(B44&gt;Che_Threshold,B42/'1. Baseline Inputs'!B4,0)</f>
        <v>1.4683200000000002E-3</v>
      </c>
      <c r="C45" s="32">
        <f>IF(C44&gt;Che_Threshold,C42/'1. Baseline Inputs'!C4,0)</f>
        <v>0</v>
      </c>
      <c r="D45" s="32">
        <f>IF(D44&gt;Che_Threshold,D42/'1. Baseline Inputs'!D4,0)</f>
        <v>0</v>
      </c>
      <c r="E45" s="32">
        <f>IF(E44&gt;Che_Threshold,E42/'1. Baseline Inputs'!E4,0)</f>
        <v>0</v>
      </c>
      <c r="F45" s="32">
        <f>IF(F44&gt;Che_Threshold,F42/'1. Baseline Inputs'!F4,0)</f>
        <v>0</v>
      </c>
      <c r="G45" s="38">
        <f>SUM(B45:F45)</f>
        <v>1.4683200000000002E-3</v>
      </c>
    </row>
    <row r="46" spans="1:7" ht="15.75" x14ac:dyDescent="0.25">
      <c r="A46" s="129" t="s">
        <v>13</v>
      </c>
      <c r="B46" s="129"/>
      <c r="C46" s="129"/>
      <c r="D46" s="129"/>
      <c r="E46" s="129"/>
      <c r="F46" s="129"/>
      <c r="G46" s="129"/>
    </row>
    <row r="47" spans="1:7" ht="15.75" x14ac:dyDescent="0.25">
      <c r="A47" s="39" t="s">
        <v>12</v>
      </c>
      <c r="B47" s="38">
        <f>SUM(B15,B21,B27,B33,B39,B45)</f>
        <v>4.8944000000000015E-2</v>
      </c>
      <c r="C47" s="38">
        <f t="shared" ref="C47:G47" si="0">SUM(C15,C21,C27,C33,C39,C45)</f>
        <v>0</v>
      </c>
      <c r="D47" s="38">
        <f t="shared" si="0"/>
        <v>0</v>
      </c>
      <c r="E47" s="38">
        <f t="shared" si="0"/>
        <v>0</v>
      </c>
      <c r="F47" s="38">
        <f t="shared" si="0"/>
        <v>0</v>
      </c>
      <c r="G47" s="38">
        <f t="shared" si="0"/>
        <v>4.5762640000000007E-2</v>
      </c>
    </row>
  </sheetData>
  <mergeCells count="8">
    <mergeCell ref="A1:F5"/>
    <mergeCell ref="A34:G34"/>
    <mergeCell ref="A40:G40"/>
    <mergeCell ref="A46:G46"/>
    <mergeCell ref="A10:G10"/>
    <mergeCell ref="A16:G16"/>
    <mergeCell ref="A22:G22"/>
    <mergeCell ref="A28:G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
  <sheetViews>
    <sheetView showGridLines="0" workbookViewId="0">
      <selection sqref="A1:I3"/>
    </sheetView>
  </sheetViews>
  <sheetFormatPr defaultRowHeight="15" x14ac:dyDescent="0.25"/>
  <sheetData>
    <row r="1" spans="1:9" x14ac:dyDescent="0.25">
      <c r="A1" s="131" t="s">
        <v>68</v>
      </c>
      <c r="B1" s="131"/>
      <c r="C1" s="131"/>
      <c r="D1" s="131"/>
      <c r="E1" s="131"/>
      <c r="F1" s="131"/>
      <c r="G1" s="131"/>
      <c r="H1" s="131"/>
      <c r="I1" s="131"/>
    </row>
    <row r="2" spans="1:9" x14ac:dyDescent="0.25">
      <c r="A2" s="131"/>
      <c r="B2" s="131"/>
      <c r="C2" s="131"/>
      <c r="D2" s="131"/>
      <c r="E2" s="131"/>
      <c r="F2" s="131"/>
      <c r="G2" s="131"/>
      <c r="H2" s="131"/>
      <c r="I2" s="131"/>
    </row>
    <row r="3" spans="1:9" ht="22.5" customHeight="1" x14ac:dyDescent="0.25">
      <c r="A3" s="131"/>
      <c r="B3" s="131"/>
      <c r="C3" s="131"/>
      <c r="D3" s="131"/>
      <c r="E3" s="131"/>
      <c r="F3" s="131"/>
      <c r="G3" s="131"/>
      <c r="H3" s="131"/>
      <c r="I3" s="131"/>
    </row>
  </sheetData>
  <mergeCells count="1">
    <mergeCell ref="A1:I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6373CF3C1654AA0FF338FEB138698" ma:contentTypeVersion="13" ma:contentTypeDescription="Create a new document." ma:contentTypeScope="" ma:versionID="55f26f0682b97008ff30f722752a397f">
  <xsd:schema xmlns:xsd="http://www.w3.org/2001/XMLSchema" xmlns:xs="http://www.w3.org/2001/XMLSchema" xmlns:p="http://schemas.microsoft.com/office/2006/metadata/properties" xmlns:ns3="3f5a2208-06f6-4e2b-affb-b1482ed7eb93" xmlns:ns4="f0361acc-fbb8-4639-83f7-daa913b02e25" targetNamespace="http://schemas.microsoft.com/office/2006/metadata/properties" ma:root="true" ma:fieldsID="aff5b6c8914a16d46d9c88a8b83dc26a" ns3:_="" ns4:_="">
    <xsd:import namespace="3f5a2208-06f6-4e2b-affb-b1482ed7eb93"/>
    <xsd:import namespace="f0361acc-fbb8-4639-83f7-daa913b02e2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a2208-06f6-4e2b-affb-b1482ed7e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361acc-fbb8-4639-83f7-daa913b02e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4EE1B8-543A-4B86-9F6F-8CDADB42B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a2208-06f6-4e2b-affb-b1482ed7eb93"/>
    <ds:schemaRef ds:uri="f0361acc-fbb8-4639-83f7-daa913b02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826BE-44B8-4B3C-AC48-33D31F574E88}">
  <ds:schemaRefs>
    <ds:schemaRef ds:uri="http://schemas.microsoft.com/sharepoint/v3/contenttype/forms"/>
  </ds:schemaRefs>
</ds:datastoreItem>
</file>

<file path=customXml/itemProps3.xml><?xml version="1.0" encoding="utf-8"?>
<ds:datastoreItem xmlns:ds="http://schemas.openxmlformats.org/officeDocument/2006/customXml" ds:itemID="{343F36D7-1787-402B-A143-6658579711AE}">
  <ds:schemaRefs>
    <ds:schemaRef ds:uri="http://purl.org/dc/terms/"/>
    <ds:schemaRef ds:uri="http://schemas.openxmlformats.org/package/2006/metadata/core-properties"/>
    <ds:schemaRef ds:uri="http://purl.org/dc/dcmitype/"/>
    <ds:schemaRef ds:uri="http://schemas.microsoft.com/office/2006/documentManagement/types"/>
    <ds:schemaRef ds:uri="f0361acc-fbb8-4639-83f7-daa913b02e25"/>
    <ds:schemaRef ds:uri="3f5a2208-06f6-4e2b-affb-b1482ed7eb93"/>
    <ds:schemaRef ds:uri="http://schemas.microsoft.com/office/2006/metadata/properti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Intro</vt:lpstr>
      <vt:lpstr>Overview</vt:lpstr>
      <vt:lpstr>1. Baseline Inputs</vt:lpstr>
      <vt:lpstr> 2. Baseline CHE Smokers</vt:lpstr>
      <vt:lpstr>3. Baseline CHE Non-Smokers</vt:lpstr>
      <vt:lpstr>4. Baseline CHE Figure</vt:lpstr>
      <vt:lpstr>5. Tax Scenario</vt:lpstr>
      <vt:lpstr>6. Tax CHE</vt:lpstr>
      <vt:lpstr>7. Tax CHE Figure</vt:lpstr>
      <vt:lpstr>8. Results</vt:lpstr>
      <vt:lpstr>'3. Baseline CHE Non-Smokers'!Che_Threshold</vt:lpstr>
      <vt:lpstr>Che_Threshold</vt:lpstr>
      <vt:lpstr>HOSP_UTIL_Q1</vt:lpstr>
      <vt:lpstr>HOSP_UTIL_Q2</vt:lpstr>
      <vt:lpstr>HOSP_UTIL_Q3</vt:lpstr>
      <vt:lpstr>HOSP_UTIL_Q4</vt:lpstr>
      <vt:lpstr>HOSP_UTIL_Q5</vt:lpstr>
      <vt:lpstr>HOSP_UTIL_TOT</vt:lpstr>
      <vt:lpstr>PED_Q1</vt:lpstr>
      <vt:lpstr>PED_Q2</vt:lpstr>
      <vt:lpstr>PED_Q3</vt:lpstr>
      <vt:lpstr>PED_Q4</vt:lpstr>
      <vt:lpstr>PED_Q5</vt:lpstr>
      <vt:lpstr>PREV_SMK_Q1</vt:lpstr>
      <vt:lpstr>PREV_SMK_Q2</vt:lpstr>
      <vt:lpstr>PREV_SMK_Q3</vt:lpstr>
      <vt:lpstr>PREV_SMK_Q4</vt:lpstr>
      <vt:lpstr>PREV_SMK_Q5</vt:lpstr>
      <vt:lpstr>PREV_SMK_TOT</vt:lpstr>
      <vt:lpstr>TAX</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Mirelman</dc:creator>
  <cp:lastModifiedBy>Richard</cp:lastModifiedBy>
  <dcterms:created xsi:type="dcterms:W3CDTF">2018-09-27T09:50:19Z</dcterms:created>
  <dcterms:modified xsi:type="dcterms:W3CDTF">2020-10-08T11:59:02Z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0x010100A1E6373CF3C1654AA0FF338FEB138698</vt:lpwstr>
  </property>
</Properties>
</file>